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da.moreira\Desktop\"/>
    </mc:Choice>
  </mc:AlternateContent>
  <xr:revisionPtr revIDLastSave="0" documentId="13_ncr:1_{7EAF0860-C70B-4D46-B1EE-354D0507E97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. Coleta Domiciliar" sheetId="1" r:id="rId1"/>
    <sheet name="2.Encargos Sociais" sheetId="2" r:id="rId2"/>
    <sheet name="3.CAGED" sheetId="3" r:id="rId3"/>
    <sheet name="4.BDI" sheetId="4" r:id="rId4"/>
    <sheet name="5. Depreciação" sheetId="5" r:id="rId5"/>
    <sheet name="Planilha1" sheetId="8" r:id="rId6"/>
    <sheet name="6.Remuneração de capital" sheetId="6" r:id="rId7"/>
    <sheet name="7. Dimensionamento" sheetId="7" r:id="rId8"/>
  </sheets>
  <definedNames>
    <definedName name="AbaDeprec">'5. Depreciação'!$A$1</definedName>
    <definedName name="AbaRemun">'6.Remuneração de capital'!$A$1</definedName>
    <definedName name="_xlnm.Print_Area" localSheetId="0">'1. Coleta Domiciliar'!$A$6:$F$300</definedName>
    <definedName name="_xlnm.Print_Area" localSheetId="1">'2.Encargos Sociais'!$A$1:$C$36</definedName>
    <definedName name="Print_Titles_0" localSheetId="0">'1. Coleta Domiciliar'!$1:$6</definedName>
    <definedName name="_xlnm.Print_Titles" localSheetId="0">'1. Coleta Domiciliar'!$1:$6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1" l="1"/>
  <c r="E15" i="1"/>
  <c r="E39" i="1"/>
  <c r="C18" i="4" l="1"/>
  <c r="C32" i="2"/>
  <c r="C28" i="3"/>
  <c r="C39" i="3" s="1"/>
  <c r="C26" i="3"/>
  <c r="D298" i="1" l="1"/>
  <c r="C18" i="7"/>
  <c r="C10" i="7"/>
  <c r="C11" i="7" s="1"/>
  <c r="C13" i="4"/>
  <c r="C289" i="1" s="1"/>
  <c r="F11" i="4"/>
  <c r="E11" i="4"/>
  <c r="D11" i="4"/>
  <c r="K39" i="3"/>
  <c r="K40" i="3" s="1"/>
  <c r="K41" i="3" s="1"/>
  <c r="K38" i="3"/>
  <c r="K37" i="3"/>
  <c r="K36" i="3"/>
  <c r="C34" i="3"/>
  <c r="C29" i="3"/>
  <c r="C28" i="2" s="1"/>
  <c r="C17" i="2"/>
  <c r="C14" i="2"/>
  <c r="E281" i="1"/>
  <c r="F282" i="1" s="1"/>
  <c r="E32" i="1" s="1"/>
  <c r="E275" i="1"/>
  <c r="C271" i="1"/>
  <c r="C273" i="1" s="1"/>
  <c r="E273" i="1" s="1"/>
  <c r="D274" i="1" s="1"/>
  <c r="E274" i="1" s="1"/>
  <c r="E263" i="1"/>
  <c r="E262" i="1"/>
  <c r="E261" i="1"/>
  <c r="E260" i="1"/>
  <c r="E259" i="1"/>
  <c r="C250" i="1"/>
  <c r="C248" i="1"/>
  <c r="E248" i="1" s="1"/>
  <c r="E246" i="1"/>
  <c r="D235" i="1"/>
  <c r="D233" i="1"/>
  <c r="D231" i="1"/>
  <c r="D229" i="1"/>
  <c r="D227" i="1"/>
  <c r="C227" i="1"/>
  <c r="C229" i="1" s="1"/>
  <c r="E219" i="1"/>
  <c r="C217" i="1"/>
  <c r="E217" i="1" s="1"/>
  <c r="C216" i="1"/>
  <c r="E216" i="1" s="1"/>
  <c r="C215" i="1"/>
  <c r="E211" i="1"/>
  <c r="C210" i="1"/>
  <c r="C205" i="1"/>
  <c r="D204" i="1"/>
  <c r="D199" i="1"/>
  <c r="E199" i="1" s="1"/>
  <c r="E195" i="1"/>
  <c r="C192" i="1"/>
  <c r="C191" i="1"/>
  <c r="C188" i="1"/>
  <c r="C204" i="1" s="1"/>
  <c r="C187" i="1"/>
  <c r="C186" i="1"/>
  <c r="E183" i="1"/>
  <c r="E173" i="1"/>
  <c r="E171" i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E160" i="1"/>
  <c r="E158" i="1"/>
  <c r="E157" i="1"/>
  <c r="E156" i="1"/>
  <c r="E155" i="1"/>
  <c r="E154" i="1"/>
  <c r="E153" i="1"/>
  <c r="E152" i="1"/>
  <c r="E151" i="1"/>
  <c r="E150" i="1"/>
  <c r="E149" i="1"/>
  <c r="E148" i="1"/>
  <c r="E139" i="1"/>
  <c r="A132" i="1"/>
  <c r="A138" i="1" s="1"/>
  <c r="A131" i="1"/>
  <c r="A137" i="1" s="1"/>
  <c r="C126" i="1"/>
  <c r="C125" i="1"/>
  <c r="E119" i="1"/>
  <c r="D114" i="1"/>
  <c r="C114" i="1"/>
  <c r="C111" i="1"/>
  <c r="C108" i="1"/>
  <c r="C105" i="1"/>
  <c r="D103" i="1"/>
  <c r="D102" i="1"/>
  <c r="D111" i="1" s="1"/>
  <c r="E98" i="1"/>
  <c r="D90" i="1"/>
  <c r="E90" i="1" s="1"/>
  <c r="D89" i="1"/>
  <c r="E89" i="1" s="1"/>
  <c r="E87" i="1"/>
  <c r="D126" i="1" s="1"/>
  <c r="E83" i="1"/>
  <c r="C78" i="1"/>
  <c r="C76" i="1"/>
  <c r="C73" i="1"/>
  <c r="C70" i="1"/>
  <c r="D68" i="1"/>
  <c r="E64" i="1"/>
  <c r="D57" i="1"/>
  <c r="E57" i="1" s="1"/>
  <c r="D56" i="1"/>
  <c r="E56" i="1" s="1"/>
  <c r="E55" i="1"/>
  <c r="E46" i="1"/>
  <c r="A46" i="1"/>
  <c r="E42" i="1"/>
  <c r="A42" i="1"/>
  <c r="E41" i="1"/>
  <c r="A41" i="1"/>
  <c r="E40" i="1"/>
  <c r="A40" i="1"/>
  <c r="A39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D172" i="1" l="1"/>
  <c r="C137" i="1"/>
  <c r="E137" i="1" s="1"/>
  <c r="D109" i="1"/>
  <c r="E109" i="1" s="1"/>
  <c r="F264" i="1"/>
  <c r="F266" i="1" s="1"/>
  <c r="E30" i="1" s="1"/>
  <c r="D159" i="1"/>
  <c r="D58" i="1"/>
  <c r="E58" i="1" s="1"/>
  <c r="D59" i="1" s="1"/>
  <c r="E59" i="1" s="1"/>
  <c r="E60" i="1" s="1"/>
  <c r="C201" i="1"/>
  <c r="D249" i="1"/>
  <c r="E249" i="1" s="1"/>
  <c r="D250" i="1" s="1"/>
  <c r="E250" i="1" s="1"/>
  <c r="F251" i="1" s="1"/>
  <c r="E29" i="1" s="1"/>
  <c r="D215" i="1"/>
  <c r="E215" i="1" s="1"/>
  <c r="D218" i="1" s="1"/>
  <c r="E218" i="1" s="1"/>
  <c r="F219" i="1" s="1"/>
  <c r="E26" i="1" s="1"/>
  <c r="E229" i="1"/>
  <c r="E271" i="1"/>
  <c r="D272" i="1" s="1"/>
  <c r="E272" i="1" s="1"/>
  <c r="C132" i="1"/>
  <c r="E132" i="1" s="1"/>
  <c r="E102" i="1"/>
  <c r="D108" i="1"/>
  <c r="E114" i="1"/>
  <c r="E204" i="1"/>
  <c r="D236" i="1"/>
  <c r="C231" i="1"/>
  <c r="E231" i="1" s="1"/>
  <c r="E227" i="1"/>
  <c r="D74" i="1"/>
  <c r="E74" i="1" s="1"/>
  <c r="D76" i="1"/>
  <c r="D71" i="1"/>
  <c r="E71" i="1" s="1"/>
  <c r="E68" i="1"/>
  <c r="D70" i="1"/>
  <c r="E70" i="1" s="1"/>
  <c r="D73" i="1"/>
  <c r="E73" i="1" s="1"/>
  <c r="E108" i="1"/>
  <c r="E126" i="1"/>
  <c r="D91" i="1"/>
  <c r="E91" i="1" s="1"/>
  <c r="D93" i="1" s="1"/>
  <c r="E93" i="1" s="1"/>
  <c r="C131" i="1"/>
  <c r="E131" i="1" s="1"/>
  <c r="F133" i="1" s="1"/>
  <c r="C159" i="1"/>
  <c r="E159" i="1" s="1"/>
  <c r="F160" i="1" s="1"/>
  <c r="E43" i="1"/>
  <c r="C172" i="1"/>
  <c r="E172" i="1" s="1"/>
  <c r="F173" i="1" s="1"/>
  <c r="C138" i="1"/>
  <c r="E138" i="1" s="1"/>
  <c r="C12" i="7"/>
  <c r="C14" i="7"/>
  <c r="C19" i="7" s="1"/>
  <c r="C21" i="7" s="1"/>
  <c r="E76" i="1"/>
  <c r="D125" i="1"/>
  <c r="E125" i="1" s="1"/>
  <c r="E111" i="1"/>
  <c r="C235" i="1"/>
  <c r="E235" i="1" s="1"/>
  <c r="D105" i="1"/>
  <c r="E105" i="1" s="1"/>
  <c r="E188" i="1"/>
  <c r="C233" i="1"/>
  <c r="E233" i="1" s="1"/>
  <c r="C241" i="1"/>
  <c r="E241" i="1" s="1"/>
  <c r="F242" i="1" s="1"/>
  <c r="E28" i="1" s="1"/>
  <c r="C27" i="2"/>
  <c r="G28" i="3"/>
  <c r="E37" i="3"/>
  <c r="D37" i="3" s="1"/>
  <c r="D38" i="3" s="1"/>
  <c r="C38" i="3" s="1"/>
  <c r="C24" i="2" s="1"/>
  <c r="D106" i="1"/>
  <c r="E106" i="1" s="1"/>
  <c r="D186" i="1"/>
  <c r="E186" i="1" s="1"/>
  <c r="F139" i="1" l="1"/>
  <c r="E20" i="1" s="1"/>
  <c r="C37" i="3"/>
  <c r="F275" i="1"/>
  <c r="F277" i="1" s="1"/>
  <c r="E31" i="1" s="1"/>
  <c r="F37" i="3"/>
  <c r="G37" i="3" s="1"/>
  <c r="G32" i="3" s="1"/>
  <c r="E94" i="1"/>
  <c r="D95" i="1" s="1"/>
  <c r="D112" i="1"/>
  <c r="E112" i="1" s="1"/>
  <c r="F237" i="1"/>
  <c r="E27" i="1" s="1"/>
  <c r="D187" i="1"/>
  <c r="E187" i="1" s="1"/>
  <c r="C202" i="1"/>
  <c r="D203" i="1" s="1"/>
  <c r="E203" i="1" s="1"/>
  <c r="D61" i="1"/>
  <c r="F127" i="1"/>
  <c r="E18" i="1" s="1"/>
  <c r="C206" i="1"/>
  <c r="D191" i="1"/>
  <c r="E191" i="1" s="1"/>
  <c r="D192" i="1" s="1"/>
  <c r="E192" i="1" s="1"/>
  <c r="E115" i="1"/>
  <c r="F175" i="1"/>
  <c r="E21" i="1" s="1"/>
  <c r="C25" i="2"/>
  <c r="C16" i="2" s="1"/>
  <c r="C22" i="2" s="1"/>
  <c r="C31" i="2" s="1"/>
  <c r="K35" i="3"/>
  <c r="C26" i="2"/>
  <c r="D77" i="1"/>
  <c r="E77" i="1" s="1"/>
  <c r="C33" i="2" l="1"/>
  <c r="G38" i="3"/>
  <c r="D78" i="1"/>
  <c r="E78" i="1" s="1"/>
  <c r="E79" i="1" s="1"/>
  <c r="C207" i="1"/>
  <c r="D208" i="1" s="1"/>
  <c r="E208" i="1" s="1"/>
  <c r="E209" i="1" s="1"/>
  <c r="D210" i="1" s="1"/>
  <c r="E210" i="1" s="1"/>
  <c r="F211" i="1" s="1"/>
  <c r="E25" i="1" s="1"/>
  <c r="C29" i="2"/>
  <c r="D116" i="1"/>
  <c r="E193" i="1"/>
  <c r="D194" i="1" s="1"/>
  <c r="E194" i="1" s="1"/>
  <c r="F195" i="1" s="1"/>
  <c r="C34" i="2" l="1"/>
  <c r="C95" i="1" s="1"/>
  <c r="E95" i="1" s="1"/>
  <c r="E96" i="1" s="1"/>
  <c r="D97" i="1" s="1"/>
  <c r="E97" i="1" s="1"/>
  <c r="F98" i="1" s="1"/>
  <c r="E16" i="1" s="1"/>
  <c r="D80" i="1"/>
  <c r="F254" i="1"/>
  <c r="E24" i="1"/>
  <c r="E22" i="1" l="1"/>
  <c r="C116" i="1"/>
  <c r="E116" i="1" s="1"/>
  <c r="E117" i="1" s="1"/>
  <c r="D118" i="1" s="1"/>
  <c r="E118" i="1" s="1"/>
  <c r="F119" i="1" s="1"/>
  <c r="E17" i="1" s="1"/>
  <c r="C80" i="1"/>
  <c r="C61" i="1"/>
  <c r="E61" i="1" s="1"/>
  <c r="E62" i="1" s="1"/>
  <c r="D63" i="1" s="1"/>
  <c r="E63" i="1" s="1"/>
  <c r="F64" i="1" s="1"/>
  <c r="E14" i="1" s="1"/>
  <c r="E80" i="1"/>
  <c r="E81" i="1" s="1"/>
  <c r="D82" i="1" s="1"/>
  <c r="E82" i="1" s="1"/>
  <c r="F83" i="1" s="1"/>
  <c r="E23" i="1"/>
  <c r="F141" i="1" l="1"/>
  <c r="F284" i="1" s="1"/>
  <c r="D289" i="1" s="1"/>
  <c r="E13" i="1" l="1"/>
  <c r="E289" i="1" l="1"/>
  <c r="F290" i="1" l="1"/>
  <c r="F292" i="1" s="1"/>
  <c r="E33" i="1" s="1"/>
  <c r="F295" i="1" l="1"/>
  <c r="F300" i="1" s="1"/>
  <c r="E34" i="1" l="1"/>
  <c r="F33" i="1" s="1"/>
  <c r="F32" i="1" l="1"/>
  <c r="F21" i="1"/>
  <c r="F17" i="1"/>
  <c r="F30" i="1"/>
  <c r="F28" i="1"/>
  <c r="F18" i="1"/>
  <c r="F16" i="1"/>
  <c r="F23" i="1"/>
  <c r="F25" i="1"/>
  <c r="F14" i="1"/>
  <c r="F13" i="1"/>
  <c r="F31" i="1"/>
  <c r="F27" i="1"/>
  <c r="F20" i="1"/>
  <c r="F22" i="1"/>
  <c r="F15" i="1"/>
  <c r="F19" i="1"/>
  <c r="F24" i="1"/>
  <c r="F26" i="1"/>
  <c r="F29" i="1"/>
  <c r="F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sz val="9"/>
            <color rgb="FF000000"/>
            <rFont val="Tahoma"/>
            <family val="2"/>
            <charset val="1"/>
          </rPr>
          <t xml:space="preserve">Qualquer custo previsto no edital e não contemplado nesta planilha modelo deverá ser devidamente incluído
</t>
        </r>
      </text>
    </comment>
    <comment ref="B49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fator de utilização das equipes de coleta. 
Por exemplo:
Equipes com utilização integral = 100%
Equipes com utilização parcial = n° horas trabalhadas por semana /44 horas
</t>
        </r>
      </text>
    </comment>
    <comment ref="D55" authorId="0" shapeId="0" xr:uid="{00000000-0006-0000-0000-000003000000}">
      <text>
        <r>
          <rPr>
            <sz val="9"/>
            <color rgb="FF000000"/>
            <rFont val="Tahoma"/>
            <family val="2"/>
            <charset val="1"/>
          </rPr>
          <t>Informar o Piso da categoria fixado na Convenção Coletiva</t>
        </r>
      </text>
    </comment>
    <comment ref="C56" authorId="0" shapeId="0" xr:uid="{00000000-0006-0000-0000-000004000000}">
      <text>
        <r>
          <rPr>
            <sz val="9"/>
            <color rgb="FF000000"/>
            <rFont val="Tahoma"/>
            <family val="2"/>
            <charset val="1"/>
          </rPr>
          <t xml:space="preserve">Informar o número de horas extras trabalhadas nos domingos e feriados em horário diurno
</t>
        </r>
      </text>
    </comment>
    <comment ref="C57" authorId="0" shapeId="0" xr:uid="{00000000-0006-0000-0000-000005000000}">
      <text>
        <r>
          <rPr>
            <sz val="9"/>
            <color rgb="FF000000"/>
            <rFont val="Tahoma"/>
            <family val="2"/>
            <charset val="1"/>
          </rPr>
          <t xml:space="preserve">Informar o número de horas extras trabalhadas em horário diurno de segunda a sábado 
</t>
        </r>
      </text>
    </comment>
    <comment ref="A58" authorId="0" shapeId="0" xr:uid="{00000000-0006-0000-0000-000006000000}">
      <text>
        <r>
          <rPr>
            <sz val="9"/>
            <color rgb="FF000000"/>
            <rFont val="Tahoma"/>
            <family val="2"/>
            <charset val="1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61" authorId="0" shapeId="0" xr:uid="{00000000-0006-0000-0000-000007000000}">
      <text>
        <r>
          <rPr>
            <sz val="9"/>
            <color rgb="FF000000"/>
            <rFont val="Tahoma"/>
            <family val="2"/>
            <charset val="1"/>
          </rPr>
          <t xml:space="preserve">Preencher a planilha Encargos Sociais e CAGED </t>
        </r>
      </text>
    </comment>
    <comment ref="C63" authorId="0" shapeId="0" xr:uid="{00000000-0006-0000-0000-000008000000}">
      <text>
        <r>
          <rPr>
            <sz val="9"/>
            <color rgb="FF000000"/>
            <rFont val="Tahoma"/>
            <family val="2"/>
            <charset val="1"/>
          </rPr>
          <t>Informar a quantidade de trabalhadores na função</t>
        </r>
      </text>
    </comment>
    <comment ref="C69" authorId="0" shapeId="0" xr:uid="{00000000-0006-0000-0000-000009000000}">
      <text>
        <r>
          <rPr>
            <sz val="9"/>
            <color rgb="FF000000"/>
            <rFont val="Tahoma"/>
            <family val="2"/>
            <charset val="1"/>
          </rPr>
          <t>Informar o número de horas noturnas trabalhadas no intervalo das 22:00h as 5:00h</t>
        </r>
      </text>
    </comment>
    <comment ref="C71" authorId="0" shapeId="0" xr:uid="{00000000-0006-0000-0000-00000A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diurno nos domingos e feriados</t>
        </r>
      </text>
    </comment>
    <comment ref="C72" authorId="0" shapeId="0" xr:uid="{00000000-0006-0000-0000-00000B000000}">
      <text>
        <r>
          <rPr>
            <sz val="9"/>
            <color rgb="FF000000"/>
            <rFont val="Tahoma"/>
            <family val="2"/>
            <charset val="1"/>
          </rPr>
          <t xml:space="preserve">Informar o número de horas extras trabalhadas em horário noturno (das 22:00h as 5h) nos domingos e feriados
</t>
        </r>
      </text>
    </comment>
    <comment ref="C74" authorId="0" shapeId="0" xr:uid="{00000000-0006-0000-0000-00000C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noturno de segunda à sábado</t>
        </r>
      </text>
    </comment>
    <comment ref="C75" authorId="0" shapeId="0" xr:uid="{00000000-0006-0000-0000-00000D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noturno (das 22:00h as 5h) de segunda a sábado</t>
        </r>
      </text>
    </comment>
    <comment ref="A77" authorId="0" shapeId="0" xr:uid="{00000000-0006-0000-0000-00000E000000}">
      <text>
        <r>
          <rPr>
            <sz val="9"/>
            <color rgb="FF000000"/>
            <rFont val="Tahoma"/>
            <family val="2"/>
            <charset val="1"/>
          </rPr>
          <t xml:space="preserve">Cálculo do descanso semanal remunerado incidente sobre as horas extras habitualmente prestadas. Considerados 63 feriados + domingos e 302 dias trabalhados por ano
</t>
        </r>
      </text>
    </comment>
    <comment ref="C80" authorId="0" shapeId="0" xr:uid="{00000000-0006-0000-0000-00000F000000}">
      <text>
        <r>
          <rPr>
            <sz val="9"/>
            <color rgb="FF000000"/>
            <rFont val="Tahoma"/>
            <family val="2"/>
            <charset val="1"/>
          </rPr>
          <t xml:space="preserve">Preencher a planilha Encargos Sociais e CAGED </t>
        </r>
      </text>
    </comment>
    <comment ref="C82" authorId="0" shapeId="0" xr:uid="{00000000-0006-0000-0000-000010000000}">
      <text>
        <r>
          <rPr>
            <sz val="9"/>
            <color rgb="FF000000"/>
            <rFont val="Tahoma"/>
            <family val="2"/>
            <charset val="1"/>
          </rPr>
          <t>Informar a quantidade de trabalhadores na função</t>
        </r>
      </text>
    </comment>
    <comment ref="D87" authorId="0" shapeId="0" xr:uid="{00000000-0006-0000-0000-000011000000}">
      <text>
        <r>
          <rPr>
            <sz val="9"/>
            <color rgb="FF000000"/>
            <rFont val="Tahoma"/>
            <family val="2"/>
            <charset val="1"/>
          </rPr>
          <t>Informar o Piso da categoria fixado na Convenção Coletiva</t>
        </r>
      </text>
    </comment>
    <comment ref="D88" authorId="0" shapeId="0" xr:uid="{00000000-0006-0000-0000-000012000000}">
      <text>
        <r>
          <rPr>
            <sz val="9"/>
            <color rgb="FF000000"/>
            <rFont val="Tahoma"/>
            <family val="2"/>
            <charset val="1"/>
          </rPr>
          <t>Informar o valor do salário Mínimo Nacional</t>
        </r>
      </text>
    </comment>
    <comment ref="C89" authorId="0" shapeId="0" xr:uid="{00000000-0006-0000-0000-000013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diurno nos domingos e feriados</t>
        </r>
      </text>
    </comment>
    <comment ref="C90" authorId="0" shapeId="0" xr:uid="{00000000-0006-0000-0000-000014000000}">
      <text>
        <r>
          <rPr>
            <sz val="9"/>
            <color rgb="FF000000"/>
            <rFont val="Tahoma"/>
            <family val="2"/>
            <charset val="1"/>
          </rPr>
          <t xml:space="preserve">Informar o número de horas extras trabalhadas em horário diurno de segunda a sábado 
</t>
        </r>
      </text>
    </comment>
    <comment ref="A91" authorId="0" shapeId="0" xr:uid="{00000000-0006-0000-0000-000015000000}">
      <text>
        <r>
          <rPr>
            <sz val="9"/>
            <color rgb="FF000000"/>
            <rFont val="Tahoma"/>
            <family val="2"/>
            <charset val="1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92" authorId="0" shapeId="0" xr:uid="{00000000-0006-0000-0000-000016000000}">
      <text>
        <r>
          <rPr>
            <sz val="9"/>
            <color rgb="FF000000"/>
            <rFont val="Tahoma"/>
            <family val="2"/>
            <charset val="1"/>
          </rPr>
          <t xml:space="preserve">Informar 1 se a base de cálculo for o Salário Mínimo Nacional; Informar 2 se a base de cálculo for o Piso da Categoria; 
</t>
        </r>
      </text>
    </comment>
    <comment ref="C93" authorId="0" shapeId="0" xr:uid="{00000000-0006-0000-0000-000017000000}">
      <text>
        <r>
          <rPr>
            <sz val="9"/>
            <color rgb="FF000000"/>
            <rFont val="Tahoma"/>
            <family val="2"/>
            <charset val="1"/>
          </rPr>
          <t>Percentual estabelecido nas Normas de Segurança de Trabalho ou pelo laudo de responsável técnico devidamente habilitado</t>
        </r>
      </text>
    </comment>
    <comment ref="C95" authorId="0" shapeId="0" xr:uid="{00000000-0006-0000-0000-000018000000}">
      <text>
        <r>
          <rPr>
            <sz val="9"/>
            <color rgb="FF000000"/>
            <rFont val="Tahoma"/>
            <family val="2"/>
            <charset val="1"/>
          </rPr>
          <t xml:space="preserve">Preencher a planilha Encargos Sociais e CAGED </t>
        </r>
      </text>
    </comment>
    <comment ref="C97" authorId="0" shapeId="0" xr:uid="{00000000-0006-0000-0000-000019000000}">
      <text>
        <r>
          <rPr>
            <sz val="9"/>
            <color rgb="FF000000"/>
            <rFont val="Tahoma"/>
            <family val="2"/>
            <charset val="1"/>
          </rPr>
          <t>Informar a quantidade de trabalhadores na função</t>
        </r>
      </text>
    </comment>
    <comment ref="C104" authorId="0" shapeId="0" xr:uid="{00000000-0006-0000-0000-00001A000000}">
      <text>
        <r>
          <rPr>
            <sz val="9"/>
            <color rgb="FF000000"/>
            <rFont val="Tahoma"/>
            <family val="2"/>
            <charset val="1"/>
          </rPr>
          <t>Informar o número de horas noturnas trabalhadas no intervalo das 22:00h as 5:00h</t>
        </r>
      </text>
    </comment>
    <comment ref="C106" authorId="0" shapeId="0" xr:uid="{00000000-0006-0000-0000-00001B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noturno nos domingos e feriados</t>
        </r>
      </text>
    </comment>
    <comment ref="C107" authorId="0" shapeId="0" xr:uid="{00000000-0006-0000-0000-00001C000000}">
      <text>
        <r>
          <rPr>
            <sz val="9"/>
            <color rgb="FF000000"/>
            <rFont val="Tahoma"/>
            <family val="2"/>
            <charset val="1"/>
          </rPr>
          <t xml:space="preserve">Informar o número de horas extras trabalhadas em horário noturno (das 22:00h as 5h) nos domingos e feriados
</t>
        </r>
      </text>
    </comment>
    <comment ref="C109" authorId="0" shapeId="0" xr:uid="{00000000-0006-0000-0000-00001D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noturno de segunda à sábado</t>
        </r>
      </text>
    </comment>
    <comment ref="C110" authorId="0" shapeId="0" xr:uid="{00000000-0006-0000-0000-00001E000000}">
      <text>
        <r>
          <rPr>
            <sz val="9"/>
            <color rgb="FF000000"/>
            <rFont val="Tahoma"/>
            <family val="2"/>
            <charset val="1"/>
          </rPr>
          <t>Informar o número de horas extras trabalhadas em horário noturno (das 22:00h as 5h) de segunda a sábado</t>
        </r>
      </text>
    </comment>
    <comment ref="A112" authorId="0" shapeId="0" xr:uid="{00000000-0006-0000-0000-00001F000000}">
      <text>
        <r>
          <rPr>
            <sz val="9"/>
            <color rgb="FF000000"/>
            <rFont val="Tahoma"/>
            <family val="2"/>
            <charset val="1"/>
          </rPr>
          <t xml:space="preserve">Cálculo do descanso semanal remunerado incidente sobre as horas extras habitualmente prestadas. Considerados 63 feriados + domingos e 302 dias trabalhados por ano
</t>
        </r>
      </text>
    </comment>
    <comment ref="C113" authorId="0" shapeId="0" xr:uid="{00000000-0006-0000-0000-000020000000}">
      <text>
        <r>
          <rPr>
            <sz val="9"/>
            <color rgb="FF000000"/>
            <rFont val="Tahoma"/>
            <family val="2"/>
            <charset val="1"/>
          </rPr>
          <t xml:space="preserve">Informar 1 se a base de cálculo for o Salário Mínimo Nacional; Informar 2 se a base de cálculo for o Piso da Categoria; 
</t>
        </r>
      </text>
    </comment>
    <comment ref="C116" authorId="0" shapeId="0" xr:uid="{00000000-0006-0000-0000-000021000000}">
      <text>
        <r>
          <rPr>
            <sz val="9"/>
            <color rgb="FF000000"/>
            <rFont val="Tahoma"/>
            <family val="2"/>
            <charset val="1"/>
          </rPr>
          <t xml:space="preserve">Preencher a planilha Encargos Sociais e CAGED </t>
        </r>
      </text>
    </comment>
    <comment ref="C118" authorId="0" shapeId="0" xr:uid="{00000000-0006-0000-0000-000022000000}">
      <text>
        <r>
          <rPr>
            <sz val="9"/>
            <color rgb="FF000000"/>
            <rFont val="Tahoma"/>
            <family val="2"/>
            <charset val="1"/>
          </rPr>
          <t>Informar a quantidade de trabalhadores na função</t>
        </r>
      </text>
    </comment>
    <comment ref="D123" authorId="0" shapeId="0" xr:uid="{00000000-0006-0000-0000-000023000000}">
      <text>
        <r>
          <rPr>
            <sz val="9"/>
            <color rgb="FF000000"/>
            <rFont val="Tahoma"/>
            <family val="2"/>
            <charset val="1"/>
          </rPr>
          <t>Informar o valor unitário do VT no município</t>
        </r>
      </text>
    </comment>
    <comment ref="C124" authorId="0" shapeId="0" xr:uid="{00000000-0006-0000-0000-000024000000}">
      <text>
        <r>
          <rPr>
            <sz val="9"/>
            <color rgb="FF000000"/>
            <rFont val="Tahoma"/>
            <family val="2"/>
            <charset val="1"/>
          </rPr>
          <t>Informar o número médio de dias trabalhados por mês</t>
        </r>
      </text>
    </comment>
    <comment ref="D125" authorId="0" shapeId="0" xr:uid="{00000000-0006-0000-0000-000025000000}">
      <text>
        <r>
          <rPr>
            <sz val="9"/>
            <color rgb="FF000000"/>
            <rFont val="Tahoma"/>
            <family val="2"/>
            <charset val="1"/>
          </rPr>
          <t>Valor Unitário considerando o desconto legal de até 6% do salário</t>
        </r>
      </text>
    </comment>
    <comment ref="D126" authorId="0" shapeId="0" xr:uid="{00000000-0006-0000-0000-000026000000}">
      <text>
        <r>
          <rPr>
            <sz val="9"/>
            <color rgb="FF000000"/>
            <rFont val="Tahoma"/>
            <family val="2"/>
            <charset val="1"/>
          </rPr>
          <t xml:space="preserve">Valor Unitário considerando o desconto legal de até 6% do salário
</t>
        </r>
      </text>
    </comment>
    <comment ref="D131" authorId="0" shapeId="0" xr:uid="{00000000-0006-0000-0000-000027000000}">
      <text>
        <r>
          <rPr>
            <sz val="9"/>
            <color rgb="FF000000"/>
            <rFont val="Tahoma"/>
            <family val="2"/>
            <charset val="1"/>
          </rPr>
          <t>Informar o valor unitário diário do vale refeição conforme Convenção Coletiva da categoria</t>
        </r>
      </text>
    </comment>
    <comment ref="D132" authorId="0" shapeId="0" xr:uid="{00000000-0006-0000-0000-000028000000}">
      <text>
        <r>
          <rPr>
            <sz val="9"/>
            <color rgb="FF000000"/>
            <rFont val="Tahoma"/>
            <family val="2"/>
            <charset val="1"/>
          </rPr>
          <t>Informar o valor unitário diário do vale refeição conforme Convenção Coletiva da categoria</t>
        </r>
      </text>
    </comment>
    <comment ref="D137" authorId="0" shapeId="0" xr:uid="{00000000-0006-0000-0000-000029000000}">
      <text>
        <r>
          <rPr>
            <sz val="9"/>
            <color rgb="FF000000"/>
            <rFont val="Tahoma"/>
            <family val="2"/>
            <charset val="1"/>
          </rPr>
          <t>Informar o valor mensal do auxilio alimentação conforme Convenção Coletiva da categoria</t>
        </r>
      </text>
    </comment>
    <comment ref="D138" authorId="0" shapeId="0" xr:uid="{00000000-0006-0000-0000-00002A000000}">
      <text>
        <r>
          <rPr>
            <sz val="9"/>
            <color rgb="FF000000"/>
            <rFont val="Tahoma"/>
            <family val="2"/>
            <charset val="1"/>
          </rPr>
          <t>Informar o valor mensal do auxilio alimentação conforme Convenção Coletiva da categoria</t>
        </r>
      </text>
    </comment>
    <comment ref="C148" authorId="0" shapeId="0" xr:uid="{00000000-0006-0000-0000-00002B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48" authorId="0" shapeId="0" xr:uid="{00000000-0006-0000-0000-00002C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49" authorId="0" shapeId="0" xr:uid="{00000000-0006-0000-0000-00002D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49" authorId="0" shapeId="0" xr:uid="{00000000-0006-0000-0000-00002E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0" authorId="0" shapeId="0" xr:uid="{00000000-0006-0000-0000-00002F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0" authorId="0" shapeId="0" xr:uid="{00000000-0006-0000-0000-000030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1" authorId="0" shapeId="0" xr:uid="{00000000-0006-0000-0000-000031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1" authorId="0" shapeId="0" xr:uid="{00000000-0006-0000-0000-000032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2" authorId="0" shapeId="0" xr:uid="{00000000-0006-0000-0000-000033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2" authorId="0" shapeId="0" xr:uid="{00000000-0006-0000-0000-000034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3" authorId="0" shapeId="0" xr:uid="{00000000-0006-0000-0000-000035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3" authorId="0" shapeId="0" xr:uid="{00000000-0006-0000-0000-000036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4" authorId="0" shapeId="0" xr:uid="{00000000-0006-0000-0000-000037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4" authorId="0" shapeId="0" xr:uid="{00000000-0006-0000-0000-000038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5" authorId="0" shapeId="0" xr:uid="{00000000-0006-0000-0000-000039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5" authorId="0" shapeId="0" xr:uid="{00000000-0006-0000-0000-00003A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6" authorId="0" shapeId="0" xr:uid="{00000000-0006-0000-0000-00003B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6" authorId="0" shapeId="0" xr:uid="{00000000-0006-0000-0000-00003C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C157" authorId="0" shapeId="0" xr:uid="{00000000-0006-0000-0000-00003D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57" authorId="0" shapeId="0" xr:uid="{00000000-0006-0000-0000-00003E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EPI</t>
        </r>
      </text>
    </comment>
    <comment ref="D158" authorId="0" shapeId="0" xr:uid="{00000000-0006-0000-0000-00003F000000}">
      <text>
        <r>
          <rPr>
            <sz val="9"/>
            <color rgb="FF000000"/>
            <rFont val="Tahoma"/>
            <family val="2"/>
            <charset val="1"/>
          </rPr>
          <t>Informar o valor mensal de higienização de uniforme para 1 funcionário</t>
        </r>
      </text>
    </comment>
    <comment ref="C165" authorId="0" shapeId="0" xr:uid="{00000000-0006-0000-0000-000040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C166" authorId="0" shapeId="0" xr:uid="{00000000-0006-0000-0000-000041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C167" authorId="0" shapeId="0" xr:uid="{00000000-0006-0000-0000-000042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C168" authorId="0" shapeId="0" xr:uid="{00000000-0006-0000-0000-000043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C169" authorId="0" shapeId="0" xr:uid="{00000000-0006-0000-0000-000044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C170" authorId="0" shapeId="0" xr:uid="{00000000-0006-0000-0000-000045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estimada em meses, para cada EPI
</t>
        </r>
      </text>
    </comment>
    <comment ref="D171" authorId="0" shapeId="0" xr:uid="{00000000-0006-0000-0000-000046000000}">
      <text>
        <r>
          <rPr>
            <sz val="9"/>
            <color rgb="FF000000"/>
            <rFont val="Tahoma"/>
            <family val="2"/>
            <charset val="1"/>
          </rPr>
          <t>Informar o valor mensal de higienização de uniforme para 1 funcionário</t>
        </r>
      </text>
    </comment>
    <comment ref="D183" authorId="0" shapeId="0" xr:uid="{00000000-0006-0000-0000-000047000000}">
      <text>
        <r>
          <rPr>
            <sz val="9"/>
            <color rgb="FF000000"/>
            <rFont val="Tahoma"/>
            <family val="2"/>
            <charset val="1"/>
          </rPr>
          <t>Informar o preço unitário do chassis do caminhão de coleta</t>
        </r>
      </text>
    </comment>
    <comment ref="C184" authorId="0" shapeId="0" xr:uid="{00000000-0006-0000-0000-000048000000}">
      <text>
        <r>
          <rPr>
            <sz val="9"/>
            <color rgb="FF000000"/>
            <rFont val="Tahoma"/>
            <family val="2"/>
            <charset val="1"/>
          </rPr>
          <t>Informar a vida útil estimada para o caminhão, em anos</t>
        </r>
      </text>
    </comment>
    <comment ref="C185" authorId="0" shapeId="0" xr:uid="{00000000-0006-0000-0000-000049000000}">
      <text>
        <r>
          <rPr>
            <sz val="9"/>
            <color rgb="FF000000"/>
            <rFont val="Tahoma"/>
            <family val="2"/>
            <charset val="1"/>
          </rPr>
          <t>Na elaboração do orçamento-base da licitação, informar 0 (zero). Na proposta da licitante, informar a idade do veículo proposto.</t>
        </r>
      </text>
    </comment>
    <comment ref="C186" authorId="0" shapeId="0" xr:uid="{00000000-0006-0000-0000-00004A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valor da depreciação do caminhão, adotando o valor sugerido pelo TCE ou outro valor estimado 
</t>
        </r>
      </text>
    </comment>
    <comment ref="D188" authorId="0" shapeId="0" xr:uid="{00000000-0006-0000-0000-00004B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equipamento compactador
</t>
        </r>
      </text>
    </comment>
    <comment ref="C189" authorId="0" shapeId="0" xr:uid="{00000000-0006-0000-0000-00004C000000}">
      <text>
        <r>
          <rPr>
            <sz val="9"/>
            <color rgb="FF000000"/>
            <rFont val="Tahoma"/>
            <family val="2"/>
            <charset val="1"/>
          </rPr>
          <t>Informar a vida útil estimada para o compactador, em anos</t>
        </r>
      </text>
    </comment>
    <comment ref="C190" authorId="0" shapeId="0" xr:uid="{00000000-0006-0000-0000-00004D000000}">
      <text>
        <r>
          <rPr>
            <sz val="9"/>
            <color rgb="FF000000"/>
            <rFont val="Tahoma"/>
            <family val="2"/>
            <charset val="1"/>
          </rPr>
          <t>Na elaboração do orçamento-base da licitação, informar 0 (zero). Na proposta da licitante, informar a idade do compactador proposto.</t>
        </r>
      </text>
    </comment>
    <comment ref="C191" authorId="0" shapeId="0" xr:uid="{00000000-0006-0000-0000-00004E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valor da depreciação do compactador, adotando o valor sugerido pelo TCE ou outro valor estimado 
</t>
        </r>
      </text>
    </comment>
    <comment ref="C194" authorId="0" shapeId="0" xr:uid="{00000000-0006-0000-0000-00004F000000}">
      <text>
        <r>
          <rPr>
            <sz val="9"/>
            <color rgb="FF000000"/>
            <rFont val="Tahoma"/>
            <family val="2"/>
            <charset val="1"/>
          </rPr>
          <t>Informar a quantidade de caminhões compactadores do respectivo modelo</t>
        </r>
      </text>
    </comment>
    <comment ref="C200" authorId="0" shapeId="0" xr:uid="{00000000-0006-0000-0000-000050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a taxa de juros anual para remuneração do capital. Recomenda-se o uso da Taxa SELIC
</t>
        </r>
      </text>
    </comment>
    <comment ref="D216" authorId="0" shapeId="0" xr:uid="{00000000-0006-0000-0000-000051000000}">
      <text>
        <r>
          <rPr>
            <sz val="9"/>
            <color rgb="FF000000"/>
            <rFont val="Tahoma"/>
            <family val="2"/>
            <charset val="1"/>
          </rPr>
          <t xml:space="preserve">Informar o valor do seguro obrigatório e licenciamento anual de um caminhão
</t>
        </r>
      </text>
    </comment>
    <comment ref="D217" authorId="0" shapeId="0" xr:uid="{00000000-0006-0000-0000-000052000000}">
      <text>
        <r>
          <rPr>
            <sz val="9"/>
            <color rgb="FF000000"/>
            <rFont val="Tahoma"/>
            <family val="2"/>
            <charset val="1"/>
          </rPr>
          <t xml:space="preserve">Informar o valor do seguro contra terceiros de um caminhão, se houver
</t>
        </r>
      </text>
    </comment>
    <comment ref="B223" authorId="0" shapeId="0" xr:uid="{00000000-0006-0000-0000-000053000000}">
      <text>
        <r>
          <rPr>
            <sz val="9"/>
            <color rgb="FF000000"/>
            <rFont val="Tahoma"/>
            <family val="2"/>
            <charset val="1"/>
          </rPr>
          <t>Informar a quilometragem mensal percorrida, de acordo com o projeto básico</t>
        </r>
      </text>
    </comment>
    <comment ref="C226" authorId="0" shapeId="0" xr:uid="{00000000-0006-0000-0000-000054000000}">
      <text>
        <r>
          <rPr>
            <sz val="9"/>
            <color rgb="FF000000"/>
            <rFont val="Tahoma"/>
            <family val="2"/>
            <charset val="1"/>
          </rPr>
          <t>Informar o consumo estimado do veículo em km/l</t>
        </r>
      </text>
    </comment>
    <comment ref="D226" authorId="0" shapeId="0" xr:uid="{00000000-0006-0000-0000-000055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combustivel
</t>
        </r>
      </text>
    </comment>
    <comment ref="C228" authorId="0" shapeId="0" xr:uid="{00000000-0006-0000-0000-000056000000}">
      <text>
        <r>
          <rPr>
            <sz val="9"/>
            <color rgb="FF000000"/>
            <rFont val="Tahoma"/>
            <family val="2"/>
            <charset val="1"/>
          </rPr>
          <t>Informar o consumo de óleo do motor a cada 1000km</t>
        </r>
      </text>
    </comment>
    <comment ref="D228" authorId="0" shapeId="0" xr:uid="{00000000-0006-0000-0000-000057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litro do óleo do motor
</t>
        </r>
      </text>
    </comment>
    <comment ref="C230" authorId="0" shapeId="0" xr:uid="{00000000-0006-0000-0000-000058000000}">
      <text>
        <r>
          <rPr>
            <sz val="9"/>
            <color rgb="FF000000"/>
            <rFont val="Tahoma"/>
            <family val="2"/>
            <charset val="1"/>
          </rPr>
          <t>Informar o consumo de óleo da transmissão a cada 1000km</t>
        </r>
      </text>
    </comment>
    <comment ref="D230" authorId="0" shapeId="0" xr:uid="{00000000-0006-0000-0000-000059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litro do óleo da transmissão
</t>
        </r>
      </text>
    </comment>
    <comment ref="C232" authorId="0" shapeId="0" xr:uid="{00000000-0006-0000-0000-00005A000000}">
      <text>
        <r>
          <rPr>
            <sz val="9"/>
            <color rgb="FF000000"/>
            <rFont val="Tahoma"/>
            <family val="2"/>
            <charset val="1"/>
          </rPr>
          <t>Informar o consumo de óleo hidráulico a cada 1000km</t>
        </r>
      </text>
    </comment>
    <comment ref="D232" authorId="0" shapeId="0" xr:uid="{00000000-0006-0000-0000-00005B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litro do óleo hidráulico
</t>
        </r>
      </text>
    </comment>
    <comment ref="C234" authorId="0" shapeId="0" xr:uid="{00000000-0006-0000-0000-00005C000000}">
      <text>
        <r>
          <rPr>
            <sz val="9"/>
            <color rgb="FF000000"/>
            <rFont val="Tahoma"/>
            <family val="2"/>
            <charset val="1"/>
          </rPr>
          <t>Informar o consumo de graxa a cada 1000km</t>
        </r>
      </text>
    </comment>
    <comment ref="D234" authorId="0" shapeId="0" xr:uid="{00000000-0006-0000-0000-00005D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do litro da graxa
</t>
        </r>
      </text>
    </comment>
    <comment ref="D241" authorId="0" shapeId="0" xr:uid="{00000000-0006-0000-0000-00005E000000}">
      <text>
        <r>
          <rPr>
            <sz val="9"/>
            <color rgb="FF000000"/>
            <rFont val="Tahoma"/>
            <family val="2"/>
            <charset val="1"/>
          </rPr>
          <t xml:space="preserve">Informar o custo de manutenção em R$/km rodado
</t>
        </r>
      </text>
    </comment>
    <comment ref="C246" authorId="0" shapeId="0" xr:uid="{00000000-0006-0000-0000-00005F000000}">
      <text>
        <r>
          <rPr>
            <sz val="9"/>
            <color rgb="FF000000"/>
            <rFont val="Tahoma"/>
            <family val="2"/>
            <charset val="1"/>
          </rPr>
          <t>Informar a quantidade de pneus novos de 1 caminhão</t>
        </r>
      </text>
    </comment>
    <comment ref="D246" authorId="0" shapeId="0" xr:uid="{00000000-0006-0000-0000-000060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de cada pneu
</t>
        </r>
      </text>
    </comment>
    <comment ref="C247" authorId="0" shapeId="0" xr:uid="{00000000-0006-0000-0000-000061000000}">
      <text>
        <r>
          <rPr>
            <sz val="9"/>
            <color rgb="FF000000"/>
            <rFont val="Tahoma"/>
            <family val="2"/>
            <charset val="1"/>
          </rPr>
          <t>Informar o número de recapagens por pneu</t>
        </r>
      </text>
    </comment>
    <comment ref="D248" authorId="0" shapeId="0" xr:uid="{00000000-0006-0000-0000-000062000000}">
      <text>
        <r>
          <rPr>
            <sz val="9"/>
            <color rgb="FF000000"/>
            <rFont val="Tahoma"/>
            <family val="2"/>
            <charset val="1"/>
          </rPr>
          <t xml:space="preserve">Informar o preço unitário de cada recapagem
</t>
        </r>
      </text>
    </comment>
    <comment ref="C249" authorId="0" shapeId="0" xr:uid="{00000000-0006-0000-0000-000063000000}">
      <text>
        <r>
          <rPr>
            <sz val="9"/>
            <color rgb="FF000000"/>
            <rFont val="Tahoma"/>
            <family val="2"/>
            <charset val="1"/>
          </rPr>
          <t xml:space="preserve">Informar a durabilidade média dos pneus considerando as recapagens, em km
</t>
        </r>
      </text>
    </comment>
    <comment ref="C259" authorId="0" shapeId="0" xr:uid="{00000000-0006-0000-0000-000064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9" authorId="0" shapeId="0" xr:uid="{00000000-0006-0000-0000-000065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material</t>
        </r>
      </text>
    </comment>
    <comment ref="C260" authorId="0" shapeId="0" xr:uid="{00000000-0006-0000-0000-000066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0" authorId="0" shapeId="0" xr:uid="{00000000-0006-0000-0000-000067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material</t>
        </r>
      </text>
    </comment>
    <comment ref="C261" authorId="0" shapeId="0" xr:uid="{00000000-0006-0000-0000-000068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1" authorId="0" shapeId="0" xr:uid="{00000000-0006-0000-0000-000069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material</t>
        </r>
      </text>
    </comment>
    <comment ref="C262" authorId="0" shapeId="0" xr:uid="{00000000-0006-0000-0000-00006A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2" authorId="0" shapeId="0" xr:uid="{00000000-0006-0000-0000-00006B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material</t>
        </r>
      </text>
    </comment>
    <comment ref="C263" authorId="0" shapeId="0" xr:uid="{00000000-0006-0000-0000-00006C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3" authorId="0" shapeId="0" xr:uid="{00000000-0006-0000-0000-00006D000000}">
      <text>
        <r>
          <rPr>
            <sz val="9"/>
            <color rgb="FF000000"/>
            <rFont val="Tahoma"/>
            <family val="2"/>
            <charset val="1"/>
          </rPr>
          <t>Informar o valor unitário estimado para aquisição de cada material</t>
        </r>
      </text>
    </comment>
    <comment ref="A268" authorId="0" shapeId="0" xr:uid="{00000000-0006-0000-0000-00006E000000}">
      <text>
        <r>
          <rPr>
            <b/>
            <sz val="9"/>
            <color rgb="FF000000"/>
            <rFont val="Tahoma"/>
            <family val="2"/>
            <charset val="1"/>
          </rPr>
          <t xml:space="preserve">Especificar somente quando for exigido no Projeto Básico
</t>
        </r>
      </text>
    </comment>
    <comment ref="D271" authorId="0" shapeId="0" xr:uid="{00000000-0006-0000-0000-00006F000000}">
      <text>
        <r>
          <rPr>
            <sz val="9"/>
            <color rgb="FF000000"/>
            <rFont val="Tahoma"/>
            <family val="2"/>
            <charset val="1"/>
          </rPr>
          <t>Informar o valor total para instalação do equipamento de monitoramento da frota, se houver</t>
        </r>
      </text>
    </comment>
    <comment ref="D273" authorId="0" shapeId="0" xr:uid="{00000000-0006-0000-0000-000070000000}">
      <text>
        <r>
          <rPr>
            <sz val="9"/>
            <color rgb="FF000000"/>
            <rFont val="Tahoma"/>
            <family val="2"/>
            <charset val="1"/>
          </rPr>
          <t>Informar o valor unitário mensal para manutenção dos equipamentos de monitoramento</t>
        </r>
      </text>
    </comment>
    <comment ref="C281" authorId="0" shapeId="0" xr:uid="{00000000-0006-0000-0000-000071000000}">
      <text>
        <r>
          <rPr>
            <sz val="9"/>
            <color rgb="FF000000"/>
            <rFont val="Tahoma"/>
            <family val="2"/>
            <charset val="1"/>
          </rPr>
          <t>Preencher a aba 4.BDI</t>
        </r>
      </text>
    </comment>
    <comment ref="C289" authorId="0" shapeId="0" xr:uid="{00000000-0006-0000-0000-000072000000}">
      <text>
        <r>
          <rPr>
            <sz val="9"/>
            <color rgb="FF000000"/>
            <rFont val="Tahoma"/>
            <family val="2"/>
            <charset val="1"/>
          </rPr>
          <t>Preencher a aba 4.BDI</t>
        </r>
      </text>
    </comment>
    <comment ref="D298" authorId="0" shapeId="0" xr:uid="{00000000-0006-0000-0000-000073000000}">
      <text>
        <r>
          <rPr>
            <sz val="9"/>
            <color rgb="FF000000"/>
            <rFont val="Tahoma"/>
            <family val="2"/>
            <charset val="1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7" authorId="0" shapeId="0" xr:uid="{00000000-0006-0000-02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Jorge Mesquita:
</t>
        </r>
        <r>
          <rPr>
            <sz val="9"/>
            <color rgb="FF000000"/>
            <rFont val="Tahoma"/>
            <family val="2"/>
            <charset val="1"/>
          </rPr>
          <t xml:space="preserve">Criar um tipo de arredondamento.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3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% de Administração Central estimado
</t>
        </r>
      </text>
    </comment>
    <comment ref="C11" authorId="0" shapeId="0" xr:uid="{00000000-0006-0000-03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% de Seguros, Riscos e Garantia estimado
</t>
        </r>
      </text>
    </comment>
    <comment ref="C12" authorId="0" shapeId="0" xr:uid="{00000000-0006-0000-03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% de Lucro estimado
</t>
        </r>
      </text>
    </comment>
    <comment ref="E13" authorId="0" shapeId="0" xr:uid="{00000000-0006-0000-0300-000004000000}">
      <text>
        <r>
          <rPr>
            <b/>
            <sz val="9"/>
            <color rgb="FF000000"/>
            <rFont val="Tahoma"/>
            <family val="2"/>
            <charset val="1"/>
          </rPr>
          <t>Informar o valor anual da taxa financeira, em percentual. Admite-se utilizar a SELIC</t>
        </r>
      </text>
    </comment>
    <comment ref="C14" authorId="0" shapeId="0" xr:uid="{00000000-0006-0000-03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percentual de ISS, de acordo com a legislação tributária do município onde serão prestados os serviços. De 2% até o limite de 5%.
</t>
        </r>
      </text>
    </comment>
    <comment ref="E14" authorId="0" shapeId="0" xr:uid="{00000000-0006-0000-03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a média de dias úteis entre data de pagamento prevista no contrato e a data final do período de adimplemento da parcela
</t>
        </r>
      </text>
    </comment>
    <comment ref="C15" authorId="0" shapeId="0" xr:uid="{00000000-0006-0000-03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Informar o valor estimado de PIS/COFINS. 
</t>
        </r>
        <r>
          <rPr>
            <sz val="9"/>
            <color rgb="FF000000"/>
            <rFont val="Tahoma"/>
            <family val="2"/>
            <charset val="1"/>
          </rPr>
          <t>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600-000001000000}">
      <text>
        <r>
          <rPr>
            <sz val="8"/>
            <color rgb="FF000000"/>
            <rFont val="Tahoma"/>
            <family val="2"/>
            <charset val="1"/>
          </rPr>
          <t>Informar a população do município a ser atendida</t>
        </r>
      </text>
    </comment>
    <comment ref="C10" authorId="0" shapeId="0" xr:uid="{00000000-0006-0000-0600-000002000000}">
      <text>
        <r>
          <rPr>
            <b/>
            <sz val="9"/>
            <color rgb="FF000000"/>
            <rFont val="Tahoma"/>
            <family val="2"/>
            <charset val="1"/>
          </rPr>
          <t>Caso o município possua informações de pesagem, ajustar com o valor da geração média per capita realizada nos últimos 12 meses</t>
        </r>
      </text>
    </comment>
    <comment ref="C11" authorId="0" shapeId="0" xr:uid="{00000000-0006-0000-0600-000003000000}">
      <text>
        <r>
          <rPr>
            <sz val="9"/>
            <color rgb="FF000000"/>
            <rFont val="Tahoma"/>
            <family val="2"/>
            <charset val="1"/>
          </rPr>
          <t>retorna a geração diária a ser recolhida</t>
        </r>
      </text>
    </comment>
    <comment ref="C13" authorId="0" shapeId="0" xr:uid="{00000000-0006-0000-0600-000004000000}">
      <text>
        <r>
          <rPr>
            <b/>
            <sz val="8"/>
            <color rgb="FF000000"/>
            <rFont val="Tahoma"/>
            <family val="2"/>
            <charset val="1"/>
          </rPr>
          <t>Informe o número de dias de coleta por semana</t>
        </r>
      </text>
    </comment>
    <comment ref="C16" authorId="0" shapeId="0" xr:uid="{00000000-0006-0000-0600-000005000000}">
      <text>
        <r>
          <rPr>
            <sz val="8"/>
            <color rgb="FF000000"/>
            <rFont val="Tahoma"/>
            <family val="2"/>
            <charset val="1"/>
          </rPr>
          <t>Informar 1 para caminhão toco; Informar 2 para caminhão truck</t>
        </r>
        <r>
          <rPr>
            <b/>
            <sz val="8"/>
            <color rgb="FF000000"/>
            <rFont val="Tahoma"/>
            <family val="2"/>
            <charset val="1"/>
          </rPr>
          <t xml:space="preserve"> </t>
        </r>
      </text>
    </comment>
    <comment ref="C17" authorId="0" shapeId="0" xr:uid="{00000000-0006-0000-0600-000006000000}">
      <text>
        <r>
          <rPr>
            <sz val="8"/>
            <color rgb="FF000000"/>
            <rFont val="Tahoma"/>
            <family val="2"/>
            <charset val="1"/>
          </rPr>
          <t>Informar a capacidade do compactador em m³</t>
        </r>
      </text>
    </comment>
    <comment ref="C20" authorId="0" shapeId="0" xr:uid="{00000000-0006-0000-0600-000007000000}">
      <text>
        <r>
          <rPr>
            <sz val="8"/>
            <color rgb="FF000000"/>
            <rFont val="Tahoma"/>
            <family val="2"/>
            <charset val="1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<sst xmlns="http://schemas.openxmlformats.org/spreadsheetml/2006/main" count="611" uniqueCount="323">
  <si>
    <t>Orientações para preenchimento:</t>
  </si>
  <si>
    <t>1. Esta planilha é somente um modelo-base. Qualquer custo previsto no edital e não contemplado nesta planilha deverá ser devidamente incluído</t>
  </si>
  <si>
    <t>2. Preencher somente células em amarelo</t>
  </si>
  <si>
    <t>3. As células azuis deverão ter seus valores preenchidos em outra planilha do arquivo.</t>
  </si>
  <si>
    <t>Planilha de Composição de Custos</t>
  </si>
  <si>
    <t>Orçamento Sintético</t>
  </si>
  <si>
    <t>Descrição do Item</t>
  </si>
  <si>
    <t>Custo (R$/mês)</t>
  </si>
  <si>
    <t>%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</si>
  <si>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</si>
  <si>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</si>
  <si>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</si>
  <si>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</si>
  <si>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</si>
  <si>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</si>
  <si>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</si>
  <si>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</si>
  <si>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</si>
  <si>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</si>
  <si>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</si>
  <si>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</si>
  <si>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</si>
  <si>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rPr>
        <b/>
        <sz val="9"/>
        <rFont val="Arial"/>
        <family val="2"/>
        <charset val="1"/>
      </rPr>
      <t xml:space="preserve">Total </t>
    </r>
    <r>
      <rPr>
        <b/>
        <u/>
        <sz val="9"/>
        <rFont val="Arial"/>
        <family val="2"/>
        <charset val="1"/>
      </rPr>
      <t>(R$)</t>
    </r>
  </si>
  <si>
    <t>Piso da categoria</t>
  </si>
  <si>
    <t>mês</t>
  </si>
  <si>
    <t>Horas Extras (100%)</t>
  </si>
  <si>
    <t>hora</t>
  </si>
  <si>
    <t>Excluir esta linha caso a contratação não tenha previsão de horas extras 100% explícita no edital</t>
  </si>
  <si>
    <t>Horas Extras (50%)</t>
  </si>
  <si>
    <t>Excluir esta linha caso a contratação não tenha previsão de horas extras 50% explícita no edital</t>
  </si>
  <si>
    <t>Descanso Semanal Remunerado (DSR) - hora extra</t>
  </si>
  <si>
    <t>R$</t>
  </si>
  <si>
    <t>Excluir esta linha caso a contratação não tenha previsão de horas extras explícita no edital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</si>
  <si>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</si>
  <si>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</si>
  <si>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</si>
  <si>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</si>
  <si>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</si>
  <si>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</si>
  <si>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</si>
  <si>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Coletor Turno Noite</t>
  </si>
  <si>
    <t>Adicional Noturno</t>
  </si>
  <si>
    <t>horas trabalhadas</t>
  </si>
  <si>
    <t>hora contabilizada</t>
  </si>
  <si>
    <t>Horas Extras Noturnas (100%)</t>
  </si>
  <si>
    <t>Excluir esta linha caso a contratação não tenha previsão de horas extras noturnas 100% explícita no edital</t>
  </si>
  <si>
    <t>Horas Extras Noturnas (50%)</t>
  </si>
  <si>
    <t>Excluir esta linha caso a contratação não tenha previsão de horas extras noturnas 50% explícita no edital</t>
  </si>
  <si>
    <t>1.3. Motorista Turno do Dia</t>
  </si>
  <si>
    <t>Piso da categoria (1)</t>
  </si>
  <si>
    <t>Salário mínimo nacional (2)</t>
  </si>
  <si>
    <t>Base de cálculo da Insalubridade</t>
  </si>
  <si>
    <t>Total por Motorista</t>
  </si>
  <si>
    <t>1.4. Motorista Turno Noite</t>
  </si>
  <si>
    <t>Salário mínimo nacional</t>
  </si>
  <si>
    <t>1.5. Vale Transporte</t>
  </si>
  <si>
    <t>Vale Transporte</t>
  </si>
  <si>
    <t>Dias Trabalhados por mês</t>
  </si>
  <si>
    <t>dia</t>
  </si>
  <si>
    <t>Coletor</t>
  </si>
  <si>
    <t>vale</t>
  </si>
  <si>
    <t>Motorista</t>
  </si>
  <si>
    <t>1.6. Vale-refeição (diário)</t>
  </si>
  <si>
    <t>unidade</t>
  </si>
  <si>
    <t>1.7. Auxílio Alimentação (mensal)</t>
  </si>
  <si>
    <t>Custo Mensal com Mão-de-obra (R$/mês)</t>
  </si>
  <si>
    <t>2. Uniformes e Equipamentos de Proteção Individual</t>
  </si>
  <si>
    <t>2.1. Uniformes e EPIs para Coletor</t>
  </si>
  <si>
    <t>Durabilidade (meses)</t>
  </si>
  <si>
    <t>Jaqueta com reflexivo (NBR 15.292)</t>
  </si>
  <si>
    <t>Calça</t>
  </si>
  <si>
    <t>Camiseta</t>
  </si>
  <si>
    <t>Boné</t>
  </si>
  <si>
    <t>Botina de segurança c/ palmilha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</si>
  <si>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</si>
  <si>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</si>
  <si>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</si>
  <si>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</si>
  <si>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</si>
  <si>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</si>
  <si>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</si>
  <si>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</si>
  <si>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</si>
  <si>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</si>
  <si>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t>Custo Mensal com Uniformes e EPIs (R$/mês)</t>
  </si>
  <si>
    <t>3. Veículos e Equipamentos</t>
  </si>
  <si>
    <r>
      <rPr>
        <sz val="10"/>
        <rFont val="Arial"/>
        <family val="2"/>
        <charset val="1"/>
      </rPr>
      <t>3.1. Veículo Coletor Compactador</t>
    </r>
    <r>
      <rPr>
        <sz val="10"/>
        <color rgb="FFFF0000"/>
        <rFont val="Arial"/>
        <family val="2"/>
        <charset val="1"/>
      </rPr>
      <t xml:space="preserve"> 15</t>
    </r>
    <r>
      <rPr>
        <sz val="10"/>
        <rFont val="Arial"/>
        <family val="2"/>
        <charset val="1"/>
      </rPr>
      <t xml:space="preserve"> m³</t>
    </r>
  </si>
  <si>
    <t>3.1.1. Depreciação</t>
  </si>
  <si>
    <t>Custo de aquisição do chassis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</si>
  <si>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</si>
  <si>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</si>
  <si>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</si>
  <si>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</si>
  <si>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</si>
  <si>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</si>
  <si>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</si>
  <si>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</si>
  <si>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</si>
  <si>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</si>
  <si>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</si>
  <si>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</si>
  <si>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3.1.2. Remuneração do Capital</t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</si>
  <si>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</si>
  <si>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</si>
  <si>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</si>
  <si>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</si>
  <si>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</si>
  <si>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</si>
  <si>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</si>
  <si>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</si>
  <si>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</si>
  <si>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</si>
  <si>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</si>
  <si>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</si>
  <si>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</si>
  <si>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</si>
  <si>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</si>
  <si>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</si>
  <si>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</si>
  <si>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t>Custo de óleo diesel / km rodado</t>
  </si>
  <si>
    <t>km/l</t>
  </si>
  <si>
    <t>Custo mensal com óleo diesel</t>
  </si>
  <si>
    <t>km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</si>
  <si>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</si>
  <si>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</si>
  <si>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</si>
  <si>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</si>
  <si>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</si>
  <si>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</si>
  <si>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</si>
  <si>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</si>
  <si>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</si>
  <si>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</si>
  <si>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</si>
  <si>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</si>
  <si>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3.1.5. Manutenção</t>
  </si>
  <si>
    <t>Custo de manutenção dos caminhões</t>
  </si>
  <si>
    <t>3.1.6. Pneus</t>
  </si>
  <si>
    <t>Custo do jogo de pneus xxx/xx Rxx</t>
  </si>
  <si>
    <t>Número de recapagens por pneu</t>
  </si>
  <si>
    <t>Custo de recapagem</t>
  </si>
  <si>
    <r>
      <rPr>
        <sz val="10"/>
        <rFont val="Arial"/>
        <family val="2"/>
        <charset val="1"/>
      </rPr>
      <t xml:space="preserve">Custo jg. compl. + </t>
    </r>
    <r>
      <rPr>
        <sz val="10"/>
        <color rgb="FFFF0000"/>
        <rFont val="Arial"/>
        <family val="2"/>
        <charset val="1"/>
      </rPr>
      <t>X</t>
    </r>
    <r>
      <rPr>
        <sz val="10"/>
        <rFont val="Arial"/>
        <family val="2"/>
        <charset val="1"/>
      </rPr>
      <t xml:space="preserve"> recap./ km rodado</t>
    </r>
  </si>
  <si>
    <t>km/jogo</t>
  </si>
  <si>
    <t>Custo mensal com pneus</t>
  </si>
  <si>
    <t>Custo Mensal com Veículos e Equipamentos (R$/mês)</t>
  </si>
  <si>
    <t>4. Ferramentas e Materiais de Consumo</t>
  </si>
  <si>
    <t>Recipiente térmico para água (5L)</t>
  </si>
  <si>
    <t>Pá de Concha</t>
  </si>
  <si>
    <t>Vassoura</t>
  </si>
  <si>
    <t>Publicidade (adesivos equipamentos)</t>
  </si>
  <si>
    <t>cj</t>
  </si>
  <si>
    <t>Publicidade (adesivos veículos)</t>
  </si>
  <si>
    <t>Custo Mensal com Ferramentas e Materiais de Consumo (R$/mês)</t>
  </si>
  <si>
    <t>5. Monitoramento da Frota</t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</si>
  <si>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</si>
  <si>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</si>
  <si>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</si>
  <si>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</si>
  <si>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</si>
  <si>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6. Destinação Final</t>
  </si>
  <si>
    <t>Lixo Orgânico + seco</t>
  </si>
  <si>
    <t>ton</t>
  </si>
  <si>
    <t>CUSTO TOTAL MENSAL COM DESPESAS OPERACIONAIS (R$/mês)</t>
  </si>
  <si>
    <t>7. Benefícios e Despesas Indiretas - BDI</t>
  </si>
  <si>
    <t>Benefícios e despesas indiretas</t>
  </si>
  <si>
    <t>CUSTO MENSAL COM BDI (R$/mês)</t>
  </si>
  <si>
    <t>Excluir esta linha caso a contratação seja por preço global mensal</t>
  </si>
  <si>
    <t>PREÇO MENSAL TOTAL (R$/mês)</t>
  </si>
  <si>
    <t xml:space="preserve">Quantidade média de resíduos coletados por mês: </t>
  </si>
  <si>
    <t>toneladas</t>
  </si>
  <si>
    <t>PREÇO POR TONELADA COLETADA:  [A/B]</t>
  </si>
  <si>
    <t>R$/tonelada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</si>
  <si>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</si>
  <si>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</si>
  <si>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</si>
  <si>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</si>
  <si>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</si>
  <si>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</si>
  <si>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</si>
  <si>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</si>
  <si>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</si>
  <si>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</si>
  <si>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</si>
  <si>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</si>
  <si>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</si>
  <si>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</si>
  <si>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</si>
  <si>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</si>
  <si>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</si>
  <si>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</si>
  <si>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</si>
  <si>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</si>
  <si>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</si>
  <si>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</si>
  <si>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</si>
  <si>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</si>
  <si>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</si>
  <si>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</si>
  <si>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</si>
  <si>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</si>
  <si>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</si>
  <si>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</si>
  <si>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</si>
  <si>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</si>
  <si>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</si>
  <si>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</si>
  <si>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</si>
  <si>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</si>
  <si>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</si>
  <si>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</si>
  <si>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</si>
  <si>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</si>
  <si>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</si>
  <si>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</si>
  <si>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</si>
  <si>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</si>
  <si>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</si>
  <si>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</si>
  <si>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</si>
  <si>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</si>
  <si>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</si>
  <si>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</si>
  <si>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</si>
  <si>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</si>
  <si>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</si>
  <si>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</si>
  <si>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</si>
  <si>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</si>
  <si>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CÁLCULO DAS VERBAS INDENIZATÓRIAS DOS EMPREGADOS NO SETOR DE COLETA DE RSU</t>
  </si>
  <si>
    <t>Para preencher esta planilha siga os passos 1 a 5:</t>
  </si>
  <si>
    <t xml:space="preserve">1. Acesse o Portal do CAGED no link http://bi.mte.gov.br/cagedestabelecimento/pages/consulta.xhtml </t>
  </si>
  <si>
    <t>2. Na Especificação da Consulta, selecione "Demonstrativo por período" e informe as competências relativas ao período Inicial e Final (últimos 12 meses)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</si>
  <si>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</si>
  <si>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</si>
  <si>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</si>
  <si>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6. Preencha as células em amarelo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</si>
  <si>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</si>
  <si>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</si>
  <si>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</si>
  <si>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</si>
  <si>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</si>
  <si>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</si>
  <si>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</si>
  <si>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</si>
  <si>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</si>
  <si>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</si>
  <si>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</si>
  <si>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</si>
  <si>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</si>
  <si>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</si>
  <si>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</si>
  <si>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</si>
  <si>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</si>
  <si>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1/3 de férias (dias)</t>
  </si>
  <si>
    <t>Férias (dias)</t>
  </si>
  <si>
    <t>13º Salário (dias)</t>
  </si>
  <si>
    <t>Estoque Médio</t>
  </si>
  <si>
    <t>Multa FGTS</t>
  </si>
  <si>
    <t>Fração de tempo para gozo férias</t>
  </si>
  <si>
    <t>Dias de Aviso prévio</t>
  </si>
  <si>
    <t>Rotatividade temporal (meses)</t>
  </si>
  <si>
    <t>1. Esta planilha é somente um modelo-base e deve ser ajustada conforme cada caso concreto.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</si>
  <si>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</si>
  <si>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</si>
  <si>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</si>
  <si>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</si>
  <si>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</si>
  <si>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</si>
  <si>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</si>
  <si>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</si>
  <si>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</si>
  <si>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</si>
  <si>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</si>
  <si>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</si>
  <si>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</si>
  <si>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</si>
  <si>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</si>
  <si>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</si>
  <si>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</si>
  <si>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</si>
  <si>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</si>
  <si>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</si>
  <si>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</si>
  <si>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</si>
  <si>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</si>
  <si>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</si>
  <si>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</si>
  <si>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</si>
  <si>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rgb="FF000000"/>
        <rFont val="Arial"/>
        <family val="2"/>
        <charset val="1"/>
      </rPr>
      <t>J</t>
    </r>
    <r>
      <rPr>
        <vertAlign val="subscript"/>
        <sz val="12"/>
        <color rgb="FF000000"/>
        <rFont val="Arial"/>
        <family val="2"/>
        <charset val="1"/>
      </rPr>
      <t>m</t>
    </r>
    <r>
      <rPr>
        <sz val="12"/>
        <color rgb="FF000000"/>
        <rFont val="Arial"/>
        <family val="2"/>
        <charset val="1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</si>
  <si>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</si>
  <si>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</si>
  <si>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rgb="FF000000"/>
        <rFont val="Arial"/>
        <family val="2"/>
        <charset val="1"/>
      </rPr>
      <t>V</t>
    </r>
    <r>
      <rPr>
        <vertAlign val="subscript"/>
        <sz val="12"/>
        <color rgb="FF000000"/>
        <rFont val="Arial"/>
        <family val="2"/>
        <charset val="1"/>
      </rPr>
      <t>0</t>
    </r>
    <r>
      <rPr>
        <sz val="12"/>
        <color rgb="FF000000"/>
        <rFont val="Arial"/>
        <family val="2"/>
        <charset val="1"/>
      </rPr>
      <t xml:space="preserve"> = valor inicial do bem</t>
    </r>
  </si>
  <si>
    <r>
      <rPr>
        <sz val="12"/>
        <color rgb="FF000000"/>
        <rFont val="Arial"/>
        <family val="2"/>
        <charset val="1"/>
      </rPr>
      <t>V</t>
    </r>
    <r>
      <rPr>
        <vertAlign val="subscript"/>
        <sz val="12"/>
        <color rgb="FF000000"/>
        <rFont val="Arial"/>
        <family val="2"/>
        <charset val="1"/>
      </rPr>
      <t>r</t>
    </r>
    <r>
      <rPr>
        <sz val="12"/>
        <color rgb="FF000000"/>
        <rFont val="Arial"/>
        <family val="2"/>
        <charset val="1"/>
      </rPr>
      <t xml:space="preserve"> = valor residual do bem</t>
    </r>
  </si>
  <si>
    <t>n = vida útil do bem em anos</t>
  </si>
  <si>
    <t>1. Esta planilha é somente um modelo de cálculo expedito e deve ser ajustada conforme cada caso concreto.</t>
  </si>
  <si>
    <t>2. Dimensionar separadamente setores atendidos por veículos de capacidade de carga diferentes.</t>
  </si>
  <si>
    <t>3. Preencher somente células em amarelo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</si>
  <si>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</si>
  <si>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</si>
  <si>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</si>
  <si>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</si>
  <si>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</si>
  <si>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</si>
  <si>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</si>
  <si>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</si>
  <si>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</si>
  <si>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</si>
  <si>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</si>
  <si>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</si>
  <si>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</si>
  <si>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</si>
  <si>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</si>
  <si>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</si>
  <si>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</si>
  <si>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</si>
  <si>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</si>
  <si>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</si>
  <si>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</si>
  <si>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t>Estoque recuperado início do Período 01-01-2019</t>
  </si>
  <si>
    <t>Estoque recuperado final do Período 31-12-2019</t>
  </si>
  <si>
    <t>Variação Emprego Absoluta de 01-01-2019 a 31-12-2019</t>
  </si>
  <si>
    <t>Do Edital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</si>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</sst>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\-??_);_(@_)"/>
    <numFmt numFmtId="165" formatCode="&quot;R$ &quot;#,##0.00"/>
    <numFmt numFmtId="166" formatCode="&quot;R$ &quot;#,##0.00_);&quot;(R$ &quot;#,##0.00\)"/>
    <numFmt numFmtId="167" formatCode="_(* #,##0_);_(* \(#,##0\);_(* \-??_);_(@_)"/>
    <numFmt numFmtId="168" formatCode="_-* #,##0.00_-;\-* #,##0.00_-;_-* \-??_-;_-@_-"/>
    <numFmt numFmtId="169" formatCode="_(* #,##0.000_);_(* \(#,##0.000\);_(* \-??_);_(@_)"/>
    <numFmt numFmtId="170" formatCode="0.0000"/>
    <numFmt numFmtId="171" formatCode="_-* #,##0.000_-;\-* #,##0.000_-;_-* \-??_-;_-@_-"/>
    <numFmt numFmtId="172" formatCode="_-* #,##0.00_-;\-* #,##0.00_-;_-* \-?_-;_-@_-"/>
    <numFmt numFmtId="173" formatCode="_-* #,##0_-;\-* #,##0_-;_-* \-?_-;_-@_-"/>
  </numFmts>
  <fonts count="25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u/>
      <sz val="9"/>
      <name val="Arial"/>
      <family val="2"/>
      <charset val="1"/>
    </font>
    <font>
      <sz val="8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vertAlign val="subscript"/>
      <sz val="12"/>
      <color rgb="FF000000"/>
      <name val="Arial"/>
      <family val="2"/>
      <charset val="1"/>
    </font>
    <font>
      <sz val="8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EEECE1"/>
      </patternFill>
    </fill>
    <fill>
      <patternFill patternType="solid">
        <fgColor rgb="FFDDD9C3"/>
        <bgColor rgb="FFD9D9D9"/>
      </patternFill>
    </fill>
    <fill>
      <patternFill patternType="solid">
        <fgColor rgb="FFEEECE1"/>
        <bgColor rgb="FFD9D9D9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24" fillId="0" borderId="0" applyBorder="0" applyProtection="0"/>
    <xf numFmtId="9" fontId="24" fillId="0" borderId="0" applyBorder="0" applyProtection="0"/>
    <xf numFmtId="0" fontId="10" fillId="0" borderId="0" applyBorder="0" applyProtection="0"/>
  </cellStyleXfs>
  <cellXfs count="30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Border="1" applyAlignment="1">
      <alignment vertical="center"/>
    </xf>
    <xf numFmtId="164" fontId="0" fillId="0" borderId="0" xfId="1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4" fillId="0" borderId="0" xfId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164" fontId="0" fillId="0" borderId="4" xfId="1" applyFont="1" applyBorder="1" applyAlignment="1" applyProtection="1">
      <alignment vertical="center"/>
    </xf>
    <xf numFmtId="164" fontId="2" fillId="0" borderId="6" xfId="1" applyFont="1" applyBorder="1" applyAlignment="1" applyProtection="1">
      <alignment horizontal="center" vertical="center"/>
    </xf>
    <xf numFmtId="164" fontId="0" fillId="0" borderId="7" xfId="1" applyFont="1" applyBorder="1" applyAlignment="1" applyProtection="1">
      <alignment vertical="center"/>
    </xf>
    <xf numFmtId="164" fontId="2" fillId="0" borderId="7" xfId="1" applyFont="1" applyBorder="1" applyAlignment="1" applyProtection="1">
      <alignment vertical="center"/>
    </xf>
    <xf numFmtId="164" fontId="2" fillId="0" borderId="8" xfId="1" applyFont="1" applyBorder="1" applyAlignment="1" applyProtection="1">
      <alignment vertical="center"/>
    </xf>
    <xf numFmtId="164" fontId="2" fillId="0" borderId="9" xfId="1" applyFont="1" applyBorder="1" applyAlignment="1" applyProtection="1">
      <alignment horizontal="center" vertical="center"/>
    </xf>
    <xf numFmtId="164" fontId="2" fillId="0" borderId="10" xfId="1" applyFont="1" applyBorder="1" applyAlignment="1" applyProtection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1" xfId="1" applyFont="1" applyBorder="1" applyAlignment="1" applyProtection="1">
      <alignment vertical="center"/>
    </xf>
    <xf numFmtId="165" fontId="2" fillId="0" borderId="12" xfId="0" applyNumberFormat="1" applyFont="1" applyBorder="1" applyAlignment="1">
      <alignment vertical="center"/>
    </xf>
    <xf numFmtId="10" fontId="2" fillId="0" borderId="13" xfId="2" applyNumberFormat="1" applyFont="1" applyBorder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164" fontId="0" fillId="0" borderId="10" xfId="1" applyFont="1" applyBorder="1" applyAlignment="1" applyProtection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1" xfId="1" applyFont="1" applyBorder="1" applyAlignment="1" applyProtection="1">
      <alignment vertical="center"/>
    </xf>
    <xf numFmtId="165" fontId="0" fillId="0" borderId="12" xfId="0" applyNumberFormat="1" applyBorder="1" applyAlignment="1">
      <alignment vertical="center"/>
    </xf>
    <xf numFmtId="10" fontId="0" fillId="0" borderId="13" xfId="2" applyNumberFormat="1" applyFont="1" applyBorder="1" applyAlignment="1" applyProtection="1">
      <alignment vertical="center"/>
    </xf>
    <xf numFmtId="164" fontId="2" fillId="0" borderId="10" xfId="1" applyFont="1" applyBorder="1" applyAlignment="1" applyProtection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164" fontId="1" fillId="0" borderId="10" xfId="1" applyFont="1" applyBorder="1" applyAlignment="1" applyProtection="1">
      <alignment horizontal="left" vertical="center"/>
    </xf>
    <xf numFmtId="4" fontId="0" fillId="0" borderId="11" xfId="0" applyNumberFormat="1" applyBorder="1" applyAlignment="1">
      <alignment horizontal="center" vertical="center"/>
    </xf>
    <xf numFmtId="10" fontId="1" fillId="0" borderId="13" xfId="2" applyNumberFormat="1" applyFont="1" applyBorder="1" applyAlignment="1" applyProtection="1">
      <alignment vertical="center"/>
    </xf>
    <xf numFmtId="165" fontId="2" fillId="0" borderId="14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4" fontId="2" fillId="0" borderId="16" xfId="1" applyFont="1" applyBorder="1" applyAlignment="1" applyProtection="1">
      <alignment horizontal="left" vertical="center"/>
    </xf>
    <xf numFmtId="4" fontId="2" fillId="0" borderId="17" xfId="0" applyNumberFormat="1" applyFont="1" applyBorder="1" applyAlignment="1">
      <alignment horizontal="center" vertical="center"/>
    </xf>
    <xf numFmtId="164" fontId="2" fillId="0" borderId="17" xfId="1" applyFont="1" applyBorder="1" applyAlignment="1" applyProtection="1">
      <alignment vertical="center"/>
    </xf>
    <xf numFmtId="166" fontId="2" fillId="0" borderId="18" xfId="0" applyNumberFormat="1" applyFont="1" applyBorder="1" applyAlignment="1">
      <alignment vertical="center"/>
    </xf>
    <xf numFmtId="9" fontId="2" fillId="0" borderId="19" xfId="2" applyFont="1" applyBorder="1" applyAlignment="1" applyProtection="1">
      <alignment vertical="center"/>
    </xf>
    <xf numFmtId="164" fontId="2" fillId="0" borderId="21" xfId="1" applyFont="1" applyBorder="1" applyAlignment="1" applyProtection="1">
      <alignment horizontal="right" vertical="center"/>
    </xf>
    <xf numFmtId="164" fontId="1" fillId="0" borderId="6" xfId="1" applyFont="1" applyBorder="1" applyAlignment="1" applyProtection="1">
      <alignment vertical="center"/>
    </xf>
    <xf numFmtId="164" fontId="1" fillId="0" borderId="7" xfId="1" applyFont="1" applyBorder="1" applyAlignment="1" applyProtection="1">
      <alignment vertical="center"/>
    </xf>
    <xf numFmtId="0" fontId="0" fillId="0" borderId="7" xfId="0" applyBorder="1" applyAlignment="1">
      <alignment vertical="center"/>
    </xf>
    <xf numFmtId="1" fontId="1" fillId="0" borderId="9" xfId="1" applyNumberFormat="1" applyFont="1" applyBorder="1" applyAlignment="1" applyProtection="1">
      <alignment horizontal="center" vertical="center"/>
    </xf>
    <xf numFmtId="164" fontId="1" fillId="0" borderId="10" xfId="1" applyFont="1" applyBorder="1" applyAlignment="1" applyProtection="1">
      <alignment vertical="center"/>
    </xf>
    <xf numFmtId="164" fontId="1" fillId="0" borderId="11" xfId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1" fontId="1" fillId="0" borderId="22" xfId="1" applyNumberFormat="1" applyFont="1" applyBorder="1" applyAlignment="1" applyProtection="1">
      <alignment horizontal="center" vertical="center"/>
    </xf>
    <xf numFmtId="164" fontId="2" fillId="0" borderId="23" xfId="1" applyFont="1" applyBorder="1" applyAlignment="1" applyProtection="1">
      <alignment vertical="center"/>
    </xf>
    <xf numFmtId="4" fontId="2" fillId="0" borderId="24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1" fontId="2" fillId="0" borderId="25" xfId="1" applyNumberFormat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vertical="center"/>
    </xf>
    <xf numFmtId="4" fontId="2" fillId="0" borderId="0" xfId="0" applyNumberFormat="1" applyFont="1" applyBorder="1" applyAlignment="1">
      <alignment vertical="center"/>
    </xf>
    <xf numFmtId="164" fontId="1" fillId="0" borderId="4" xfId="1" applyFont="1" applyBorder="1" applyAlignment="1" applyProtection="1">
      <alignment vertical="center"/>
    </xf>
    <xf numFmtId="164" fontId="1" fillId="0" borderId="27" xfId="1" applyFont="1" applyBorder="1" applyAlignment="1" applyProtection="1">
      <alignment vertical="center"/>
    </xf>
    <xf numFmtId="164" fontId="1" fillId="0" borderId="28" xfId="1" applyFont="1" applyBorder="1" applyAlignment="1" applyProtection="1">
      <alignment vertical="center"/>
    </xf>
    <xf numFmtId="0" fontId="1" fillId="0" borderId="28" xfId="0" applyFont="1" applyBorder="1" applyAlignment="1">
      <alignment vertical="center"/>
    </xf>
    <xf numFmtId="1" fontId="1" fillId="0" borderId="29" xfId="1" applyNumberFormat="1" applyFont="1" applyBorder="1" applyAlignment="1" applyProtection="1">
      <alignment horizontal="center" vertical="center"/>
    </xf>
    <xf numFmtId="1" fontId="1" fillId="0" borderId="0" xfId="1" applyNumberFormat="1" applyFont="1" applyBorder="1" applyAlignment="1" applyProtection="1">
      <alignment horizontal="center" vertical="center"/>
    </xf>
    <xf numFmtId="167" fontId="1" fillId="0" borderId="0" xfId="1" applyNumberFormat="1" applyFont="1" applyBorder="1" applyAlignment="1" applyProtection="1">
      <alignment horizontal="center" vertical="center"/>
    </xf>
    <xf numFmtId="164" fontId="2" fillId="0" borderId="16" xfId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7" fontId="2" fillId="0" borderId="0" xfId="1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4" fontId="7" fillId="4" borderId="31" xfId="1" applyFont="1" applyFill="1" applyBorder="1" applyAlignment="1" applyProtection="1">
      <alignment horizontal="center" vertical="center"/>
    </xf>
    <xf numFmtId="164" fontId="7" fillId="4" borderId="19" xfId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64" fontId="1" fillId="0" borderId="32" xfId="1" applyFont="1" applyBorder="1" applyAlignment="1" applyProtection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 applyProtection="1">
      <alignment horizontal="center" vertical="center"/>
    </xf>
    <xf numFmtId="164" fontId="2" fillId="0" borderId="14" xfId="1" applyFont="1" applyBorder="1" applyAlignment="1" applyProtection="1">
      <alignment horizontal="center" vertical="center"/>
    </xf>
    <xf numFmtId="164" fontId="1" fillId="5" borderId="12" xfId="1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0" borderId="0" xfId="1" applyFont="1" applyBorder="1" applyAlignment="1" applyProtection="1">
      <alignment horizontal="right" vertical="center"/>
    </xf>
    <xf numFmtId="164" fontId="1" fillId="0" borderId="12" xfId="1" applyFont="1" applyBorder="1" applyAlignment="1" applyProtection="1">
      <alignment vertical="center"/>
    </xf>
    <xf numFmtId="164" fontId="2" fillId="4" borderId="30" xfId="1" applyFont="1" applyFill="1" applyBorder="1" applyAlignment="1" applyProtection="1">
      <alignment horizontal="center" vertical="center"/>
    </xf>
    <xf numFmtId="2" fontId="1" fillId="0" borderId="12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1" fontId="1" fillId="3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2" fillId="0" borderId="12" xfId="1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1" xfId="1" applyFont="1" applyBorder="1" applyAlignment="1" applyProtection="1">
      <alignment horizontal="center" vertical="center"/>
    </xf>
    <xf numFmtId="0" fontId="1" fillId="0" borderId="0" xfId="0" applyFont="1" applyAlignment="1">
      <alignment horizontal="right" vertical="center"/>
    </xf>
    <xf numFmtId="167" fontId="1" fillId="0" borderId="12" xfId="1" applyNumberFormat="1" applyFont="1" applyBorder="1" applyAlignment="1" applyProtection="1">
      <alignment horizontal="center" vertical="center"/>
    </xf>
    <xf numFmtId="164" fontId="1" fillId="3" borderId="0" xfId="1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167" fontId="1" fillId="0" borderId="12" xfId="1" applyNumberFormat="1" applyFont="1" applyBorder="1" applyAlignment="1" applyProtection="1">
      <alignment vertical="center"/>
    </xf>
    <xf numFmtId="164" fontId="2" fillId="4" borderId="5" xfId="1" applyFont="1" applyFill="1" applyBorder="1" applyAlignment="1" applyProtection="1">
      <alignment vertical="center"/>
    </xf>
    <xf numFmtId="164" fontId="1" fillId="3" borderId="12" xfId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2" fillId="0" borderId="30" xfId="1" applyFont="1" applyBorder="1" applyAlignment="1" applyProtection="1">
      <alignment vertical="center"/>
    </xf>
    <xf numFmtId="0" fontId="7" fillId="4" borderId="3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164" fontId="1" fillId="0" borderId="0" xfId="1" applyFont="1" applyBorder="1" applyAlignment="1" applyProtection="1"/>
    <xf numFmtId="0" fontId="1" fillId="0" borderId="0" xfId="0" applyFont="1"/>
    <xf numFmtId="1" fontId="1" fillId="0" borderId="1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4" fontId="1" fillId="0" borderId="17" xfId="1" applyFont="1" applyBorder="1" applyAlignment="1" applyProtection="1">
      <alignment vertical="center"/>
    </xf>
    <xf numFmtId="164" fontId="1" fillId="0" borderId="30" xfId="1" applyFont="1" applyBorder="1" applyAlignment="1" applyProtection="1">
      <alignment vertical="center"/>
    </xf>
    <xf numFmtId="164" fontId="2" fillId="4" borderId="5" xfId="1" applyFont="1" applyFill="1" applyBorder="1" applyAlignment="1" applyProtection="1">
      <alignment horizontal="center" vertical="center"/>
    </xf>
    <xf numFmtId="0" fontId="10" fillId="0" borderId="0" xfId="3" applyBorder="1" applyAlignment="1" applyProtection="1">
      <alignment vertical="center"/>
    </xf>
    <xf numFmtId="164" fontId="1" fillId="0" borderId="0" xfId="1" applyFont="1" applyBorder="1" applyAlignment="1" applyProtection="1">
      <alignment horizontal="center" vertical="center"/>
    </xf>
    <xf numFmtId="168" fontId="1" fillId="0" borderId="0" xfId="0" applyNumberFormat="1" applyFont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164" fontId="2" fillId="0" borderId="33" xfId="1" applyFont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164" fontId="7" fillId="4" borderId="34" xfId="1" applyFont="1" applyFill="1" applyBorder="1" applyAlignment="1" applyProtection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164" fontId="13" fillId="0" borderId="12" xfId="1" applyFont="1" applyBorder="1" applyAlignment="1" applyProtection="1">
      <alignment horizontal="center" vertical="center"/>
    </xf>
    <xf numFmtId="0" fontId="9" fillId="0" borderId="0" xfId="0" applyFont="1" applyBorder="1" applyAlignment="1">
      <alignment vertical="center"/>
    </xf>
    <xf numFmtId="164" fontId="11" fillId="0" borderId="0" xfId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164" fontId="2" fillId="4" borderId="0" xfId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164" fontId="6" fillId="0" borderId="0" xfId="1" applyFont="1" applyBorder="1" applyAlignment="1" applyProtection="1">
      <alignment vertical="center"/>
    </xf>
    <xf numFmtId="0" fontId="1" fillId="0" borderId="3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36" xfId="1" applyFont="1" applyBorder="1" applyAlignment="1" applyProtection="1">
      <alignment vertical="center"/>
    </xf>
    <xf numFmtId="164" fontId="2" fillId="0" borderId="30" xfId="1" applyFont="1" applyBorder="1" applyAlignment="1" applyProtection="1">
      <alignment horizontal="right" vertical="center"/>
    </xf>
    <xf numFmtId="164" fontId="2" fillId="4" borderId="5" xfId="1" applyFont="1" applyFill="1" applyBorder="1" applyAlignment="1" applyProtection="1">
      <alignment horizontal="right" vertical="center"/>
    </xf>
    <xf numFmtId="0" fontId="1" fillId="0" borderId="0" xfId="0" applyFont="1" applyBorder="1"/>
    <xf numFmtId="0" fontId="3" fillId="0" borderId="0" xfId="0" applyFont="1" applyAlignment="1">
      <alignment vertical="center"/>
    </xf>
    <xf numFmtId="0" fontId="16" fillId="0" borderId="38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0" fontId="16" fillId="0" borderId="22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10" fontId="17" fillId="0" borderId="22" xfId="0" applyNumberFormat="1" applyFont="1" applyBorder="1" applyAlignment="1">
      <alignment horizontal="right" vertical="center"/>
    </xf>
    <xf numFmtId="0" fontId="16" fillId="6" borderId="38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10" fontId="17" fillId="6" borderId="22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10" fontId="1" fillId="0" borderId="0" xfId="0" applyNumberFormat="1" applyFont="1"/>
    <xf numFmtId="9" fontId="16" fillId="0" borderId="0" xfId="2" applyFont="1" applyBorder="1" applyAlignment="1" applyProtection="1">
      <alignment horizontal="right" vertical="center"/>
    </xf>
    <xf numFmtId="10" fontId="1" fillId="0" borderId="0" xfId="0" applyNumberFormat="1" applyFont="1" applyBorder="1"/>
    <xf numFmtId="0" fontId="16" fillId="0" borderId="12" xfId="0" applyFont="1" applyBorder="1" applyAlignment="1">
      <alignment horizontal="left" vertical="center" wrapText="1"/>
    </xf>
    <xf numFmtId="0" fontId="16" fillId="7" borderId="39" xfId="0" applyFont="1" applyFill="1" applyBorder="1" applyAlignment="1">
      <alignment horizontal="left" vertical="center"/>
    </xf>
    <xf numFmtId="0" fontId="17" fillId="7" borderId="15" xfId="0" applyFont="1" applyFill="1" applyBorder="1" applyAlignment="1">
      <alignment horizontal="left" vertical="center"/>
    </xf>
    <xf numFmtId="10" fontId="17" fillId="7" borderId="29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10" fontId="17" fillId="0" borderId="0" xfId="0" applyNumberFormat="1" applyFont="1" applyBorder="1" applyAlignment="1">
      <alignment horizontal="right" vertical="center"/>
    </xf>
    <xf numFmtId="0" fontId="18" fillId="8" borderId="0" xfId="0" applyFont="1" applyFill="1" applyBorder="1" applyAlignment="1">
      <alignment horizontal="left" vertical="center"/>
    </xf>
    <xf numFmtId="10" fontId="16" fillId="0" borderId="0" xfId="0" applyNumberFormat="1" applyFont="1" applyBorder="1" applyAlignment="1">
      <alignment horizontal="right" vertical="center"/>
    </xf>
    <xf numFmtId="0" fontId="16" fillId="8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justify" vertical="center"/>
    </xf>
    <xf numFmtId="0" fontId="10" fillId="0" borderId="0" xfId="3" applyFont="1" applyBorder="1" applyAlignment="1" applyProtection="1">
      <alignment horizontal="left" vertical="center"/>
    </xf>
    <xf numFmtId="0" fontId="18" fillId="0" borderId="0" xfId="0" applyFont="1" applyBorder="1"/>
    <xf numFmtId="0" fontId="16" fillId="0" borderId="0" xfId="0" applyFont="1" applyBorder="1" applyAlignment="1">
      <alignment horizontal="right" vertical="center"/>
    </xf>
    <xf numFmtId="0" fontId="10" fillId="0" borderId="0" xfId="3" applyFont="1" applyBorder="1" applyAlignment="1" applyProtection="1">
      <alignment vertical="center"/>
    </xf>
    <xf numFmtId="0" fontId="2" fillId="0" borderId="0" xfId="0" applyFont="1"/>
    <xf numFmtId="0" fontId="17" fillId="0" borderId="10" xfId="0" applyFont="1" applyBorder="1"/>
    <xf numFmtId="0" fontId="4" fillId="0" borderId="13" xfId="0" applyFont="1" applyBorder="1"/>
    <xf numFmtId="0" fontId="17" fillId="0" borderId="40" xfId="0" applyFont="1" applyBorder="1"/>
    <xf numFmtId="0" fontId="17" fillId="3" borderId="22" xfId="0" applyFont="1" applyFill="1" applyBorder="1"/>
    <xf numFmtId="0" fontId="17" fillId="0" borderId="38" xfId="0" applyFont="1" applyBorder="1"/>
    <xf numFmtId="0" fontId="4" fillId="0" borderId="38" xfId="0" applyFont="1" applyBorder="1"/>
    <xf numFmtId="0" fontId="4" fillId="3" borderId="22" xfId="0" applyFont="1" applyFill="1" applyBorder="1"/>
    <xf numFmtId="0" fontId="4" fillId="0" borderId="40" xfId="0" applyFont="1" applyBorder="1"/>
    <xf numFmtId="0" fontId="4" fillId="3" borderId="41" xfId="0" applyFont="1" applyFill="1" applyBorder="1"/>
    <xf numFmtId="0" fontId="4" fillId="0" borderId="42" xfId="0" applyFont="1" applyBorder="1"/>
    <xf numFmtId="0" fontId="4" fillId="3" borderId="43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17" fillId="0" borderId="44" xfId="0" applyFont="1" applyBorder="1"/>
    <xf numFmtId="170" fontId="17" fillId="0" borderId="41" xfId="0" applyNumberFormat="1" applyFont="1" applyBorder="1"/>
    <xf numFmtId="0" fontId="17" fillId="0" borderId="45" xfId="0" applyFont="1" applyBorder="1"/>
    <xf numFmtId="0" fontId="17" fillId="0" borderId="41" xfId="0" applyFont="1" applyBorder="1"/>
    <xf numFmtId="0" fontId="5" fillId="0" borderId="41" xfId="0" applyFont="1" applyBorder="1"/>
    <xf numFmtId="9" fontId="5" fillId="0" borderId="41" xfId="0" applyNumberFormat="1" applyFont="1" applyBorder="1"/>
    <xf numFmtId="170" fontId="5" fillId="0" borderId="41" xfId="0" applyNumberFormat="1" applyFont="1" applyBorder="1"/>
    <xf numFmtId="0" fontId="17" fillId="0" borderId="22" xfId="0" applyFont="1" applyBorder="1"/>
    <xf numFmtId="0" fontId="17" fillId="0" borderId="23" xfId="0" applyFont="1" applyBorder="1"/>
    <xf numFmtId="170" fontId="5" fillId="0" borderId="25" xfId="0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9" fontId="4" fillId="0" borderId="38" xfId="2" applyFont="1" applyBorder="1" applyAlignment="1" applyProtection="1"/>
    <xf numFmtId="9" fontId="4" fillId="0" borderId="12" xfId="2" applyFont="1" applyBorder="1" applyAlignment="1" applyProtection="1">
      <alignment horizontal="center"/>
    </xf>
    <xf numFmtId="9" fontId="4" fillId="0" borderId="22" xfId="2" applyFont="1" applyBorder="1" applyAlignment="1" applyProtection="1"/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10" fontId="4" fillId="3" borderId="9" xfId="0" applyNumberFormat="1" applyFont="1" applyFill="1" applyBorder="1" applyAlignment="1">
      <alignment horizontal="center" vertical="center"/>
    </xf>
    <xf numFmtId="10" fontId="4" fillId="0" borderId="38" xfId="2" applyNumberFormat="1" applyFont="1" applyBorder="1" applyAlignment="1" applyProtection="1">
      <alignment horizontal="right"/>
    </xf>
    <xf numFmtId="10" fontId="4" fillId="0" borderId="12" xfId="2" applyNumberFormat="1" applyFont="1" applyBorder="1" applyAlignment="1" applyProtection="1">
      <alignment horizontal="right"/>
    </xf>
    <xf numFmtId="10" fontId="4" fillId="0" borderId="22" xfId="2" applyNumberFormat="1" applyFont="1" applyBorder="1" applyAlignment="1" applyProtection="1">
      <alignment horizontal="right"/>
    </xf>
    <xf numFmtId="0" fontId="4" fillId="0" borderId="3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0" borderId="22" xfId="0" applyNumberFormat="1" applyFont="1" applyBorder="1" applyAlignment="1">
      <alignment horizontal="center" vertical="center"/>
    </xf>
    <xf numFmtId="10" fontId="4" fillId="3" borderId="12" xfId="2" applyNumberFormat="1" applyFont="1" applyFill="1" applyBorder="1" applyAlignment="1" applyProtection="1">
      <alignment horizontal="center"/>
    </xf>
    <xf numFmtId="10" fontId="4" fillId="0" borderId="22" xfId="2" applyNumberFormat="1" applyFont="1" applyBorder="1" applyAlignment="1" applyProtection="1"/>
    <xf numFmtId="0" fontId="4" fillId="0" borderId="38" xfId="0" applyFont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0" borderId="22" xfId="0" applyFont="1" applyBorder="1"/>
    <xf numFmtId="0" fontId="4" fillId="0" borderId="39" xfId="0" applyFont="1" applyBorder="1" applyAlignment="1">
      <alignment horizontal="left" vertical="center"/>
    </xf>
    <xf numFmtId="10" fontId="4" fillId="3" borderId="29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51" xfId="0" applyFont="1" applyBorder="1" applyAlignment="1">
      <alignment vertical="center"/>
    </xf>
    <xf numFmtId="0" fontId="5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/>
    </xf>
    <xf numFmtId="10" fontId="5" fillId="6" borderId="30" xfId="0" applyNumberFormat="1" applyFont="1" applyFill="1" applyBorder="1" applyAlignment="1">
      <alignment horizontal="center" vertical="center" wrapText="1"/>
    </xf>
    <xf numFmtId="10" fontId="4" fillId="0" borderId="39" xfId="2" applyNumberFormat="1" applyFont="1" applyBorder="1" applyAlignment="1" applyProtection="1">
      <alignment horizontal="right"/>
    </xf>
    <xf numFmtId="10" fontId="4" fillId="0" borderId="15" xfId="2" applyNumberFormat="1" applyFont="1" applyBorder="1" applyAlignment="1" applyProtection="1">
      <alignment horizontal="right"/>
    </xf>
    <xf numFmtId="10" fontId="4" fillId="0" borderId="29" xfId="2" applyNumberFormat="1" applyFont="1" applyBorder="1" applyAlignment="1" applyProtection="1">
      <alignment horizontal="right"/>
    </xf>
    <xf numFmtId="0" fontId="17" fillId="0" borderId="38" xfId="0" applyFont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2" fontId="16" fillId="10" borderId="12" xfId="0" applyNumberFormat="1" applyFont="1" applyFill="1" applyBorder="1" applyAlignment="1">
      <alignment horizontal="right" vertical="center"/>
    </xf>
    <xf numFmtId="0" fontId="16" fillId="0" borderId="39" xfId="0" applyFont="1" applyBorder="1" applyAlignment="1">
      <alignment horizontal="center" vertical="center"/>
    </xf>
    <xf numFmtId="2" fontId="16" fillId="10" borderId="15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/>
    </xf>
    <xf numFmtId="0" fontId="1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3" fillId="0" borderId="3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38" xfId="0" applyFont="1" applyBorder="1"/>
    <xf numFmtId="0" fontId="5" fillId="0" borderId="12" xfId="0" applyFont="1" applyBorder="1"/>
    <xf numFmtId="0" fontId="5" fillId="0" borderId="22" xfId="0" applyFont="1" applyBorder="1"/>
    <xf numFmtId="0" fontId="4" fillId="0" borderId="12" xfId="0" applyFont="1" applyBorder="1"/>
    <xf numFmtId="171" fontId="16" fillId="0" borderId="22" xfId="1" applyNumberFormat="1" applyFont="1" applyBorder="1" applyAlignment="1" applyProtection="1">
      <alignment horizontal="center" vertical="center" wrapText="1"/>
    </xf>
    <xf numFmtId="172" fontId="4" fillId="0" borderId="22" xfId="0" applyNumberFormat="1" applyFont="1" applyBorder="1"/>
    <xf numFmtId="2" fontId="4" fillId="0" borderId="22" xfId="0" applyNumberFormat="1" applyFont="1" applyBorder="1"/>
    <xf numFmtId="172" fontId="4" fillId="3" borderId="22" xfId="0" applyNumberFormat="1" applyFont="1" applyFill="1" applyBorder="1"/>
    <xf numFmtId="173" fontId="4" fillId="3" borderId="22" xfId="0" applyNumberFormat="1" applyFont="1" applyFill="1" applyBorder="1"/>
    <xf numFmtId="0" fontId="4" fillId="0" borderId="39" xfId="0" applyFont="1" applyBorder="1"/>
    <xf numFmtId="0" fontId="4" fillId="0" borderId="15" xfId="0" applyFont="1" applyBorder="1"/>
    <xf numFmtId="172" fontId="4" fillId="0" borderId="29" xfId="0" applyNumberFormat="1" applyFont="1" applyBorder="1"/>
    <xf numFmtId="4" fontId="3" fillId="0" borderId="0" xfId="0" applyNumberFormat="1" applyFont="1" applyBorder="1" applyAlignment="1">
      <alignment horizontal="center" vertical="center"/>
    </xf>
    <xf numFmtId="9" fontId="2" fillId="0" borderId="30" xfId="2" applyFont="1" applyFill="1" applyBorder="1" applyAlignment="1" applyProtection="1">
      <alignment vertical="center"/>
    </xf>
    <xf numFmtId="164" fontId="1" fillId="0" borderId="32" xfId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3" fontId="1" fillId="0" borderId="1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164" fontId="2" fillId="0" borderId="33" xfId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vertical="center"/>
    </xf>
    <xf numFmtId="0" fontId="2" fillId="0" borderId="12" xfId="0" applyFont="1" applyFill="1" applyBorder="1" applyAlignment="1">
      <alignment horizontal="center" vertical="center"/>
    </xf>
    <xf numFmtId="164" fontId="2" fillId="0" borderId="12" xfId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3" fontId="1" fillId="0" borderId="12" xfId="0" applyNumberFormat="1" applyFont="1" applyFill="1" applyBorder="1" applyAlignment="1">
      <alignment vertical="center"/>
    </xf>
    <xf numFmtId="4" fontId="1" fillId="0" borderId="32" xfId="0" applyNumberFormat="1" applyFont="1" applyFill="1" applyBorder="1" applyAlignment="1">
      <alignment horizontal="center" vertical="center"/>
    </xf>
    <xf numFmtId="169" fontId="1" fillId="0" borderId="32" xfId="1" applyNumberFormat="1" applyFont="1" applyFill="1" applyBorder="1" applyAlignment="1" applyProtection="1">
      <alignment horizontal="center" vertical="center"/>
    </xf>
    <xf numFmtId="167" fontId="1" fillId="0" borderId="12" xfId="1" applyNumberFormat="1" applyFont="1" applyFill="1" applyBorder="1" applyAlignment="1" applyProtection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69" fontId="1" fillId="0" borderId="12" xfId="1" applyNumberFormat="1" applyFont="1" applyFill="1" applyBorder="1" applyAlignment="1" applyProtection="1">
      <alignment horizontal="center" vertical="center"/>
    </xf>
    <xf numFmtId="167" fontId="2" fillId="0" borderId="12" xfId="1" applyNumberFormat="1" applyFont="1" applyFill="1" applyBorder="1" applyAlignment="1" applyProtection="1">
      <alignment horizontal="center" vertical="center"/>
    </xf>
    <xf numFmtId="169" fontId="2" fillId="0" borderId="12" xfId="1" applyNumberFormat="1" applyFont="1" applyFill="1" applyBorder="1" applyAlignment="1" applyProtection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164" fontId="13" fillId="0" borderId="12" xfId="1" applyFont="1" applyFill="1" applyBorder="1" applyAlignment="1" applyProtection="1">
      <alignment horizontal="center" vertical="center"/>
    </xf>
    <xf numFmtId="164" fontId="1" fillId="0" borderId="11" xfId="1" applyFont="1" applyFill="1" applyBorder="1" applyAlignment="1" applyProtection="1">
      <alignment vertical="center"/>
    </xf>
    <xf numFmtId="164" fontId="2" fillId="0" borderId="20" xfId="1" applyFont="1" applyBorder="1" applyAlignment="1" applyProtection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5" xfId="1" applyFont="1" applyFill="1" applyBorder="1" applyAlignment="1" applyProtection="1">
      <alignment horizontal="center" vertical="center"/>
    </xf>
    <xf numFmtId="164" fontId="2" fillId="0" borderId="10" xfId="1" applyFont="1" applyBorder="1" applyAlignment="1" applyProtection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3" fillId="9" borderId="37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9" fontId="5" fillId="0" borderId="37" xfId="2" applyFont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4" name="_x0000_t202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2" name="_x0000_t202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0" name="_x0000_t202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8" name="_x0000_t202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6" name="_x0000_t202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4" name="_x0000_t202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2" name="_x0000_t202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0" name="_x0000_t202" hidden="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8" name="_x0000_t202" hidden="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6" name="_x0000_t202" hidden="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4" name="_x0000_t202" hidden="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2" name="_x0000_t202" hidden="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0" name="_x0000_t202" hidden="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8" name="_x0000_t202" hidden="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6" name="_x0000_t202" hidden="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4" name="_x0000_t202" hidden="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2" name="_x0000_t202" hidden="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0" name="_x0000_t202" hidden="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8" name="_x0000_t202" hidden="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6" name="_x0000_t202" hidden="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4" name="_x0000_t202" hidden="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2" name="_x0000_t202" hidden="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0" name="_x0000_t202" hidden="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8" name="_x0000_t202" hidden="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6" name="_x0000_t202" hidden="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4" name="_x0000_t202" hidden="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2" name="_x0000_t202" hidden="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0" name="_x0000_t202" hidden="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8" name="_x0000_t202" hidden="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6" name="_x0000_t202" hidden="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4" name="_x0000_t202" hidden="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2" name="_x0000_t202" hidden="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0" name="_x0000_t202" hidden="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8" name="_x0000_t202" hidden="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6" name="_x0000_t202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4" name="_x0000_t202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2" name="_x0000_t202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0" name="_x0000_t202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8" name="_x0000_t202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6" name="_x0000_t20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4" name="_x0000_t202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2" name="_x0000_t202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0" name="_x0000_t202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8" name="_x0000_t202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6" name="_x0000_t20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4" name="_x0000_t202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2" name="_x0000_t20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0" name="_x0000_t202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8" name="_x0000_t20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6" name="_x0000_t202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4" name="_x0000_t20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2" name="_x0000_t202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0" name="_x0000_t20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8" name="_x0000_t202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6" name="_x0000_t20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4" name="_x0000_t202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2" name="_x0000_t20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0" name="_x0000_t202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8" name="_x0000_t202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6" name="_x0000_t202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4" name="_x0000_t202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2" name="_x0000_t202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0" name="_x0000_t202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8" name="_x0000_t202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6" name="_x0000_t202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4" name="_x0000_t202" hidden="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2" name="_x0000_t202" hidden="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0" name="_x0000_t202" hidden="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8" name="_x0000_t202" hidden="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6" name="_x0000_t202" hidden="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4" name="_x0000_t202" hidden="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2" name="_x0000_t202" hidden="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0" name="_x0000_t20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8" name="_x0000_t202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6" name="_x0000_t20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4" name="_x0000_t202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2" name="_x0000_t202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0" name="_x0000_t202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8" name="_x0000_t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6" name="_x0000_t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4" name="_x0000_t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2" name="_x0000_t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0" name="_x0000_t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8" name="_x0000_t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6" name="_x0000_t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4" name="_x0000_t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2" name="_x0000_t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0" name="_x0000_t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8" name="_x0000_t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6" name="_x0000_t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4" name="_x0000_t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2" name="_x0000_t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0" name="_x0000_t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8" name="_x0000_t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6" name="_x0000_t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4" name="_x0000_t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2" name="_x0000_t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0" name="_x0000_t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8" name="_x0000_t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6" name="_x0000_t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4" name="_x0000_t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2" name="_x0000_t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0" name="_x0000_t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8" name="_x0000_t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6" name="_x0000_t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4" name="_x0000_t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2" name="_x0000_t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0" name="_x0000_t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8" name="_x0000_t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6" name="_x0000_t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4" name="_x0000_t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2" name="_x0000_t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8" name="_x0000_t202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7" name="_x0000_t202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6" name="_x0000_t202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5" name="_x0000_t20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4" name="_x0000_t202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3" name="_x0000_t202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2" name="_x0000_t202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1" name="_x0000_t20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0" name="_x0000_t202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9" name="_x0000_t202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8" name="_x0000_t202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7" name="_x0000_t20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6" name="_x0000_t202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5" name="_x0000_t202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4" name="_x0000_t202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3" name="_x0000_t20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2" name="_x0000_t202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1" name="_x0000_t202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50" name="_x0000_t202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9" name="_x0000_t20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8" name="_x0000_t202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7" name="_x0000_t202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6" name="_x0000_t202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5" name="_x0000_t20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4" name="_x0000_t202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3" name="_x0000_t202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2" name="_x0000_t202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1" name="_x0000_t20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40" name="_x0000_t202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9" name="_x0000_t202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8" name="_x0000_t20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7" name="_x0000_t202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6" name="_x0000_t202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5" name="_x0000_t202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4" name="_x0000_t202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3" name="_x0000_t202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2" name="_x0000_t202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1" name="_x0000_t202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30" name="_x0000_t202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9" name="_x0000_t202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8" name="_x0000_t20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7" name="_x0000_t202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6" name="_x0000_t202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5" name="_x0000_t202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4" name="_x0000_t20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3" name="_x0000_t202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2" name="_x0000_t202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1" name="_x0000_t202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20" name="_x0000_t20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9" name="_x0000_t202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8" name="_x0000_t202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7" name="_x0000_t202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6" name="_x0000_t20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5" name="_x0000_t202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4" name="_x0000_t202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3" name="_x0000_t202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2" name="_x0000_t20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1" name="_x0000_t202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10" name="_x0000_t202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9" name="_x0000_t202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8" name="_x0000_t20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7" name="_x0000_t202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6" name="_x0000_t202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5" name="_x0000_t202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4" name="_x0000_t20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3" name="_x0000_t202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2" name="_x0000_t202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1" name="_x0000_t202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00" name="_x0000_t20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9" name="_x0000_t202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8" name="_x0000_t202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7" name="_x0000_t202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6" name="_x0000_t20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5" name="_x0000_t202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4" name="_x0000_t202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3" name="_x0000_t202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2" name="_x0000_t20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1" name="_x0000_t202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90" name="_x0000_t202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9" name="_x0000_t202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8" name="_x0000_t20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7" name="_x0000_t202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6" name="_x0000_t202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5" name="_x0000_t20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4" name="_x0000_t202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3" name="_x0000_t202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2" name="_x0000_t202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1" name="_x0000_t202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80" name="_x0000_t202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9" name="_x0000_t202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8" name="_x0000_t202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7" name="_x0000_t202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6" name="_x0000_t202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5" name="_x0000_t20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4" name="_x0000_t202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3" name="_x0000_t202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2" name="_x0000_t202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1" name="_x0000_t20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70" name="_x0000_t202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9" name="_x0000_t202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8" name="_x0000_t202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7" name="_x0000_t20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6" name="_x0000_t202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5" name="_x0000_t202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4" name="_x0000_t202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3" name="_x0000_t20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2" name="_x0000_t202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1" name="_x0000_t202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60" name="_x0000_t202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9" name="_x0000_t20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8" name="_x0000_t202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7" name="_x0000_t202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6" name="_x0000_t202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5" name="_x0000_t20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" name="_x0000_t202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" name="_x0000_t202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" name="_x0000_t202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" name="_x0000_t20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" name="_x0000_t202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" name="_x0000_t202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" name="_x0000_t20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" name="_x0000_t20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" name="_x0000_t202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" name="_x0000_t202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" name="_x0000_t202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" name="_x0000_t202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" name="_x0000_t202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" name="_x0000_t202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" name="_x0000_t202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69" name="_x0000_t20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0" name="_x0000_t202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1" name="_x0000_t202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2" name="_x0000_t202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3" name="_x0000_t20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4" name="_x0000_t202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5" name="_x0000_t202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1" name="_x0000_t202" hidden="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3" name="_x0000_t202" hidden="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5" name="_x0000_t202" hidden="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7" name="_x0000_t202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29" name="_x0000_t202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1" name="_x0000_t202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3" name="_x0000_t202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5" name="_x0000_t20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7" name="_x0000_t20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39" name="_x0000_t202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1" name="_x0000_t202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3" name="_x0000_t202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5" name="_x0000_t202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7" name="_x0000_t202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49" name="_x0000_t202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1" name="_x0000_t202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3" name="_x0000_t202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5" name="_x0000_t202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7" name="_x0000_t202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59" name="_x0000_t202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1" name="_x0000_t202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3" name="_x0000_t202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5" name="_x0000_t202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7" name="_x0000_t202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69" name="_x0000_t202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1" name="_x0000_t202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3" name="_x0000_t202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5" name="_x0000_t202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7" name="_x0000_t202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79" name="_x0000_t20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1" name="_x0000_t202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3" name="_x0000_t20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5" name="_x0000_t20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7" name="_x0000_t202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89" name="_x0000_t202" hidden="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1" name="_x0000_t202" hidden="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3" name="_x0000_t202" hidden="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5" name="_x0000_t202" hidden="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7" name="_x0000_t202" hidden="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99" name="_x0000_t202" hidden="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1" name="_x0000_t202" hidden="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3" name="_x0000_t202" hidden="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5" name="_x0000_t202" hidden="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7" name="_x0000_t202" hidden="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09" name="_x0000_t202" hidden="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1" name="_x0000_t202" hidden="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3" name="_x0000_t202" hidden="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5" name="_x0000_t202" hidden="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7" name="_x0000_t202" hidden="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19" name="_x0000_t202" hidden="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1" name="_x0000_t202" hidden="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3" name="_x0000_t202" hidden="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5" name="_x0000_t202" hidden="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7" name="_x0000_t202" hidden="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29" name="_x0000_t202" hidden="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1" name="_x0000_t202" hidden="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3" name="_x0000_t202" hidden="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5" name="_x0000_t202" hidden="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7" name="_x0000_t202" hidden="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39" name="_x0000_t202" hidden="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1" name="_x0000_t202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3" name="_x0000_t20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5" name="_x0000_t202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7" name="_x0000_t20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49" name="_x0000_t202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1" name="_x0000_t20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253" name="_x0000_t202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4" name="_x0000_t202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5" name="_x0000_t202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7" name="_x0000_t202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29" name="_x0000_t20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1" name="_x0000_t202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3" name="_x0000_t20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5" name="_x0000_t20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7" name="_x0000_t202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39" name="_x0000_t202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1" name="_x0000_t202" hidden="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3" name="_x0000_t202" hidden="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5" name="_x0000_t202" hidden="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7" name="_x0000_t202" hidden="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49" name="_x0000_t202" hidden="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1" name="_x0000_t202" hidden="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3" name="_x0000_t202" hidden="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5" name="_x0000_t202" hidden="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7" name="_x0000_t202" hidden="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59" name="_x0000_t202" hidden="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1" name="_x0000_t202" hidden="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3" name="_x0000_t202" hidden="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5" name="_x0000_t202" hidden="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7" name="_x0000_t202" hidden="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69" name="_x0000_t202" hidden="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1" name="_x0000_t202" hidden="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3" name="_x0000_t202" hidden="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5" name="_x0000_t202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7" name="_x0000_t20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79" name="_x0000_t202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1" name="_x0000_t20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3" name="_x0000_t202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5" name="_x0000_t20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7" name="_x0000_t202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89" name="_x0000_t20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1" name="_x0000_t202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3" name="_x0000_t20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5" name="_x0000_t202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7" name="_x0000_t202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099" name="_x0000_t202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1" name="_x0000_t202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3" name="_x0000_t20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5" name="_x0000_t202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7" name="_x0000_t202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09" name="_x0000_t202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1" name="_x0000_t202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3" name="_x0000_t202" hidden="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5" name="_x0000_t202" hidden="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7" name="_x0000_t202" hidden="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119" name="_x0000_t202" hidden="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6" name="_x0000_t202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7" name="_x0000_t20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8" name="_x0000_t202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79" name="_x0000_t202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0" name="_x0000_t202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1" name="_x0000_t20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2" name="_x0000_t202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3" name="_x0000_t202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4" name="_x0000_t202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5" name="_x0000_t202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6" name="_x0000_t202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7" name="_x0000_t202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8" name="_x0000_t202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89" name="_x0000_t202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0" name="_x0000_t202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1" name="_x0000_t20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2" name="_x0000_t202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3" name="_x0000_t202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4" name="_x0000_t20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5" name="_x0000_t202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6" name="_x0000_t202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7" name="_x0000_t202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8" name="_x0000_t20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399" name="_x0000_t202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0" name="_x0000_t202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1" name="_x0000_t202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2" name="_x0000_t202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3" name="_x0000_t20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4" name="_x0000_t202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5" name="_x0000_t202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6" name="_x0000_t202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7" name="_x0000_t202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8" name="_x0000_t202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09" name="_x0000_t202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0" name="_x0000_t202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1" name="_x0000_t202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2" name="_x0000_t202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3" name="_x0000_t202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4" name="_x0000_t202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5" name="_x0000_t20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6" name="_x0000_t202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7" name="_x0000_t20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8" name="_x0000_t202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19" name="_x0000_t202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0" name="_x0000_t202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1" name="_x0000_t202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2" name="_x0000_t202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3" name="_x0000_t202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4" name="_x0000_t202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5" name="_x0000_t202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6" name="_x0000_t202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7" name="_x0000_t202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8" name="_x0000_t202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29" name="_x0000_t202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0" name="_x0000_t20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1" name="_x0000_t202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2" name="_x0000_t202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3" name="_x0000_t202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4" name="_x0000_t20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5" name="_x0000_t202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6" name="_x0000_t202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7" name="_x0000_t202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8" name="_x0000_t20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39" name="_x0000_t202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0" name="_x0000_t202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1" name="_x0000_t202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2" name="_x0000_t20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3" name="_x0000_t202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4" name="_x0000_t202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5" name="_x0000_t202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6" name="_x0000_t20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7" name="_x0000_t202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8" name="_x0000_t202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49" name="_x0000_t202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0" name="_x0000_t20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1" name="_x0000_t202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2" name="_x0000_t202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3" name="_x0000_t202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4" name="AutoShape 34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5" name="AutoShape 34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6" name="AutoShape 34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7" name="AutoShape 34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8" name="AutoShape 34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59" name="AutoShape 33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0" name="AutoShape 338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1" name="AutoShape 3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2" name="AutoShape 33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3" name="AutoShape 33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4" name="AutoShape 33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5" name="AutoShape 33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6" name="AutoShape 3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7" name="AutoShape 33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8" name="AutoShape 33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69" name="AutoShape 32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0" name="AutoShape 32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1" name="AutoShape 32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2" name="AutoShape 32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3" name="AutoShape 32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4" name="AutoShape 32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5" name="AutoShape 32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6" name="AutoShape 32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7" name="AutoShape 32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8" name="AutoShape 320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79" name="AutoShape 319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0" name="AutoShape 318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1" name="AutoShape 31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2" name="AutoShape 316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3" name="AutoShape 31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4" name="AutoShape 3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5" name="AutoShape 31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6" name="AutoShape 31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7" name="AutoShape 31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8" name="AutoShape 31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89" name="AutoShape 30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0" name="AutoShape 308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1" name="AutoShape 30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2" name="AutoShape 306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3" name="AutoShape 30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4" name="AutoShape 30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5" name="AutoShape 30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6" name="AutoShape 30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7" name="AutoShape 30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8" name="AutoShape 30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499" name="AutoShape 29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0" name="AutoShape 298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1" name="AutoShape 29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2" name="AutoShape 296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3" name="AutoShape 29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4" name="AutoShape 2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5" name="AutoShape 29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6" name="AutoShape 29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7" name="AutoShape 29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8" name="AutoShape 29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09" name="AutoShape 28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0" name="AutoShape 288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1" name="AutoShape 2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2" name="AutoShape 28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3" name="AutoShape 28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4" name="AutoShape 28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5" name="AutoShape 28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6" name="AutoShape 28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7" name="AutoShape 28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8" name="AutoShape 28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19" name="AutoShape 27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0" name="AutoShape 278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1" name="AutoShape 27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2" name="AutoShape 27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3" name="AutoShape 27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4" name="AutoShape 27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5" name="AutoShape 27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6" name="AutoShape 27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7" name="AutoShape 27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8" name="AutoShape 270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29" name="AutoShape 26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0" name="AutoShape 268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1" name="AutoShape 26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2" name="AutoShape 266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3" name="AutoShape 26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4" name="AutoShape 26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5" name="AutoShape 26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6" name="AutoShape 26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7" name="AutoShape 26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8" name="AutoShape 260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39" name="AutoShape 25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0" name="AutoShape 25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1" name="AutoShape 25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2" name="AutoShape 256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3" name="AutoShape 25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4" name="AutoShape 25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5" name="AutoShape 25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6" name="AutoShape 25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7" name="AutoShape 25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8" name="AutoShape 25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49" name="AutoShape 24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0" name="AutoShape 248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1" name="AutoShape 247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2" name="AutoShape 246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3" name="AutoShape 24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4" name="AutoShape 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5" name="AutoShape 24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6" name="AutoShape 24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7" name="AutoShape 24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8" name="AutoShape 24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59" name="AutoShape 23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0" name="AutoShape 238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1" name="AutoShape 2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2" name="AutoShape 236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3" name="AutoShape 23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4" name="AutoShape 23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5" name="AutoShape 23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6" name="AutoShape 23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7" name="AutoShape 23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8" name="AutoShape 230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69" name="AutoShape 34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0" name="AutoShape 34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1" name="AutoShape 34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2" name="AutoShape 34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3" name="AutoShape 340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4" name="AutoShape 33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5" name="AutoShape 338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6" name="AutoShape 33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7" name="AutoShape 33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8" name="AutoShape 335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79" name="AutoShape 33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0" name="AutoShape 33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1" name="AutoShape 33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2" name="AutoShape 33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3" name="AutoShape 330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4" name="AutoShape 32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5" name="AutoShape 32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6" name="AutoShape 32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7" name="AutoShape 32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8" name="AutoShape 325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89" name="AutoShape 32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0" name="AutoShape 32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1" name="AutoShape 32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2" name="AutoShape 32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3" name="AutoShape 32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4" name="AutoShape 31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5" name="AutoShape 318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6" name="AutoShape 31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7" name="AutoShape 31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8" name="AutoShape 315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599" name="AutoShape 31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0" name="AutoShape 31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1" name="AutoShape 31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2" name="AutoShape 31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3" name="AutoShape 310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4" name="AutoShape 30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5" name="AutoShape 308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6" name="AutoShape 307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7" name="AutoShape 3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8" name="AutoShape 305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09" name="AutoShape 30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0" name="AutoShape 30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1" name="AutoShape 302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2" name="AutoShape 30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3" name="AutoShape 300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4" name="AutoShape 29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5" name="AutoShape 29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6" name="AutoShape 29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7" name="AutoShape 29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8" name="AutoShape 295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19" name="AutoShape 29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0" name="AutoShape 29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1" name="AutoShape 29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2" name="AutoShape 29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3" name="AutoShape 29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4" name="AutoShape 28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5" name="AutoShape 288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6" name="AutoShape 287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7" name="AutoShape 28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8" name="AutoShape 285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29" name="AutoShape 28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0" name="AutoShape 28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1" name="AutoShape 28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2" name="AutoShape 28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3" name="AutoShape 280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4" name="AutoShape 27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5" name="AutoShape 27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6" name="AutoShape 277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7" name="AutoShape 27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8" name="AutoShape 27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39" name="AutoShape 27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0" name="AutoShape 27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1" name="AutoShape 272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2" name="AutoShape 27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3" name="AutoShape 27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4" name="AutoShape 26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5" name="AutoShape 268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6" name="AutoShape 2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7" name="AutoShape 26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8" name="AutoShape 265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49" name="AutoShape 26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0" name="AutoShape 26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1" name="AutoShape 26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2" name="AutoShape 26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3" name="AutoShape 260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4" name="AutoShape 25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5" name="AutoShape 258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6" name="AutoShape 25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7" name="AutoShape 2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8" name="AutoShape 2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59" name="AutoShape 25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0" name="AutoShape 25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1" name="AutoShape 25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2" name="AutoShape 25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3" name="AutoShape 250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4" name="AutoShape 24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5" name="AutoShape 24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6" name="AutoShape 24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7" name="AutoShape 24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8" name="AutoShape 24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69" name="AutoShape 24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0" name="AutoShape 24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1" name="AutoShape 24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2" name="AutoShape 24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3" name="AutoShape 240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4" name="AutoShape 23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5" name="AutoShape 23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6" name="AutoShape 23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7" name="AutoShape 23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8" name="AutoShape 235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79" name="AutoShape 23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0" name="AutoShape 23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1" name="AutoShape 232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2" name="AutoShape 23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3" name="AutoShape 23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4" name="AutoShape 34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5" name="AutoShape 34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6" name="AutoShape 34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7" name="AutoShape 34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8" name="AutoShape 34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89" name="AutoShape 33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0" name="AutoShape 33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1" name="AutoShape 33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2" name="AutoShape 33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3" name="AutoShape 335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4" name="AutoShape 33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5" name="AutoShape 33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6" name="AutoShape 33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7" name="AutoShape 33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8" name="AutoShape 330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699" name="AutoShape 32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0" name="AutoShape 32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1" name="AutoShape 327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2" name="AutoShape 32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3" name="AutoShape 325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4" name="AutoShape 32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5" name="AutoShape 32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6" name="AutoShape 32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7" name="AutoShape 32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8" name="AutoShape 320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09" name="AutoShape 31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0" name="AutoShape 31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1" name="AutoShape 31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2" name="AutoShape 31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3" name="AutoShape 315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4" name="AutoShape 31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5" name="AutoShape 31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6" name="AutoShape 31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7" name="AutoShape 31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8" name="AutoShape 310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19" name="AutoShape 309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0" name="AutoShape 30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1" name="AutoShape 307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2" name="AutoShape 30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3" name="AutoShape 305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4" name="AutoShape 30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5" name="AutoShape 30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6" name="AutoShape 30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7" name="AutoShape 30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8" name="AutoShape 300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29" name="AutoShape 29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0" name="AutoShape 29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1" name="AutoShape 29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2" name="AutoShape 29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3" name="AutoShape 295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4" name="AutoShape 29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5" name="AutoShape 29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6" name="AutoShape 292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7" name="AutoShape 29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8" name="AutoShape 290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39" name="AutoShape 28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0" name="AutoShape 288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1" name="AutoShape 28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2" name="AutoShape 286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3" name="AutoShape 285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4" name="AutoShape 28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5" name="AutoShape 28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6" name="AutoShape 28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7" name="AutoShape 28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8" name="AutoShape 28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49" name="AutoShape 27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0" name="AutoShape 27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1" name="AutoShape 277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2" name="AutoShape 276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3" name="AutoShape 275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4" name="AutoShape 27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5" name="AutoShape 27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6" name="AutoShape 27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7" name="AutoShape 27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8" name="AutoShape 270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59" name="AutoShape 26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0" name="AutoShape 26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1" name="AutoShape 26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2" name="AutoShape 26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3" name="AutoShape 265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4" name="AutoShape 26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5" name="AutoShape 26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6" name="AutoShape 26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7" name="AutoShape 26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8" name="AutoShape 260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69" name="AutoShape 259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0" name="AutoShape 2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1" name="AutoShape 25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2" name="AutoShape 25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3" name="AutoShape 2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4" name="AutoShape 25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5" name="AutoShape 25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6" name="AutoShape 25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7" name="AutoShape 25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8" name="AutoShape 250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79" name="AutoShape 24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0" name="AutoShape 248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1" name="AutoShape 24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2" name="AutoShape 24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3" name="AutoShape 2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4" name="AutoShape 24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5" name="AutoShape 24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6" name="AutoShape 24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7" name="AutoShape 24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8" name="AutoShape 240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89" name="AutoShape 239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0" name="AutoShape 23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1" name="AutoShape 23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2" name="AutoShape 23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3" name="AutoShape 23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4" name="AutoShape 23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5" name="AutoShape 23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6" name="AutoShape 23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7" name="AutoShape 23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8" name="AutoShape 230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799" name="AutoShape 34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0" name="AutoShape 34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1" name="AutoShape 342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2" name="AutoShape 34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3" name="AutoShape 34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4" name="AutoShape 33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5" name="AutoShape 338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6" name="AutoShape 33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7" name="AutoShape 33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8" name="AutoShape 33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09" name="AutoShape 33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0" name="AutoShape 33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1" name="AutoShape 33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2" name="AutoShape 33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3" name="AutoShape 33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4" name="AutoShape 329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5" name="AutoShape 32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6" name="AutoShape 32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7" name="AutoShape 32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8" name="AutoShape 325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19" name="AutoShape 32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0" name="AutoShape 32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1" name="AutoShape 32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2" name="AutoShape 3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3" name="AutoShape 3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4" name="AutoShape 319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5" name="AutoShape 318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6" name="AutoShape 317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7" name="AutoShape 31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8" name="AutoShape 31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29" name="AutoShape 31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0" name="AutoShape 31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1" name="AutoShape 312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2" name="AutoShape 31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3" name="AutoShape 310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4" name="AutoShape 30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5" name="AutoShape 30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6" name="AutoShape 307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7" name="AutoShape 30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8" name="AutoShape 30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39" name="AutoShape 30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0" name="AutoShape 30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1" name="AutoShape 302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2" name="AutoShape 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3" name="AutoShape 30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4" name="AutoShape 299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5" name="AutoShape 29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6" name="AutoShape 29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7" name="AutoShape 29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8" name="AutoShape 295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49" name="AutoShape 29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0" name="AutoShape 29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1" name="AutoShape 29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2" name="AutoShape 29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3" name="AutoShape 290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4" name="AutoShape 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5" name="AutoShape 28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6" name="AutoShape 28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7" name="AutoShape 28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8" name="AutoShape 28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59" name="AutoShape 28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0" name="AutoShape 28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1" name="AutoShape 28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2" name="AutoShape 28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3" name="AutoShape 28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4" name="AutoShape 279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5" name="AutoShape 27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6" name="AutoShape 27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7" name="AutoShape 27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8" name="AutoShape 275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69" name="AutoShape 27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0" name="AutoShape 27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1" name="AutoShape 272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2" name="AutoShape 2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3" name="AutoShape 27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4" name="AutoShape 26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5" name="AutoShape 268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6" name="AutoShape 26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7" name="AutoShape 26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8" name="AutoShape 26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79" name="AutoShape 26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0" name="AutoShape 26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1" name="AutoShape 262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2" name="AutoShape 26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3" name="AutoShape 26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4" name="AutoShape 2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5" name="AutoShape 25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6" name="AutoShape 257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7" name="AutoShape 25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8" name="AutoShape 25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89" name="AutoShape 25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0" name="AutoShape 25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1" name="AutoShape 25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2" name="AutoShape 25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3" name="AutoShape 250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4" name="AutoShape 24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5" name="AutoShape 24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6" name="AutoShape 24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7" name="AutoShape 24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8" name="AutoShape 24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899" name="AutoShape 24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0" name="AutoShape 24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1" name="AutoShape 24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2" name="AutoShape 24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3" name="AutoShape 240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4" name="AutoShape 239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5" name="AutoShape 238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6" name="AutoShape 23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7" name="AutoShape 23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8" name="AutoShape 23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09" name="AutoShape 23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0" name="AutoShape 23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1" name="AutoShape 232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2" name="AutoShape 23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3" name="AutoShape 230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4" name="AutoShape 34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5" name="AutoShape 34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6" name="AutoShape 34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7" name="AutoShape 34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8" name="AutoShape 340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19" name="AutoShape 33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0" name="AutoShape 338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1" name="AutoShape 33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2" name="AutoShape 336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3" name="AutoShape 33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4" name="AutoShape 33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5" name="AutoShape 33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6" name="AutoShape 332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7" name="AutoShape 33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8" name="AutoShape 330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29" name="AutoShape 329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0" name="AutoShape 32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1" name="AutoShape 32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2" name="AutoShape 326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3" name="AutoShape 325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4" name="AutoShape 32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5" name="AutoShape 32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6" name="AutoShape 32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7" name="AutoShape 32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8" name="AutoShape 320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39" name="AutoShape 31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0" name="AutoShape 31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1" name="AutoShape 31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2" name="AutoShape 316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3" name="AutoShape 3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4" name="AutoShape 31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5" name="AutoShape 31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6" name="AutoShape 31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7" name="AutoShape 31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8" name="AutoShape 310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49" name="AutoShape 309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0" name="AutoShape 30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1" name="AutoShape 307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2" name="AutoShape 306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3" name="AutoShape 30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4" name="AutoShape 30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5" name="AutoShape 30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6" name="AutoShape 30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7" name="AutoShape 30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8" name="AutoShape 300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59" name="AutoShape 29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0" name="AutoShape 29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1" name="AutoShape 29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2" name="AutoShape 296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3" name="AutoShape 295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4" name="AutoShape 29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5" name="AutoShape 29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6" name="AutoShape 29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7" name="AutoShape 29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8" name="AutoShape 29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69" name="AutoShape 289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0" name="AutoShape 28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1" name="AutoShape 28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2" name="AutoShape 286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3" name="AutoShape 28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4" name="AutoShape 28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5" name="AutoShape 28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6" name="AutoShape 28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7" name="AutoShape 28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8" name="AutoShape 28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79" name="AutoShape 27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0" name="AutoShape 27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1" name="AutoShape 27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2" name="AutoShape 276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3" name="AutoShape 27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4" name="AutoShape 27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5" name="AutoShape 27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6" name="AutoShape 27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7" name="AutoShape 27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8" name="AutoShape 270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89" name="AutoShape 26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0" name="AutoShape 26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1" name="AutoShape 26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2" name="AutoShape 266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3" name="AutoShape 26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4" name="AutoShape 264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5" name="AutoShape 26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6" name="AutoShape 26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7" name="AutoShape 26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8" name="AutoShape 26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1999" name="AutoShape 25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0" name="AutoShape 25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1" name="AutoShape 25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2" name="AutoShape 25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3" name="AutoShape 25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4" name="AutoShape 25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5" name="AutoShape 25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6" name="AutoShape 252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7" name="AutoShape 25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8" name="AutoShape 250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09" name="AutoShape 249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0" name="AutoShape 24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1" name="AutoShape 24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2" name="AutoShape 24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3" name="AutoShape 24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4" name="AutoShape 24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5" name="AutoShape 24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6" name="AutoShape 24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7" name="AutoShape 24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8" name="AutoShape 240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19" name="AutoShape 239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0" name="AutoShape 238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1" name="AutoShape 23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2" name="AutoShape 236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3" name="AutoShape 23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4" name="AutoShape 23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5" name="AutoShape 23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6" name="AutoShape 23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7" name="AutoShape 23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8" name="AutoShape 230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29" name="AutoShape 34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0" name="AutoShape 34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1" name="AutoShape 342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2" name="AutoShape 34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3" name="AutoShape 340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4" name="AutoShape 3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5" name="AutoShape 338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6" name="AutoShape 337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7" name="AutoShape 3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8" name="AutoShape 33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39" name="AutoShape 33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0" name="AutoShape 33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1" name="AutoShape 3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2" name="AutoShape 33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3" name="AutoShape 330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4" name="AutoShape 32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5" name="AutoShape 32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6" name="AutoShape 327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7" name="AutoShape 32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8" name="AutoShape 32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49" name="AutoShape 32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0" name="AutoShape 32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1" name="AutoShape 32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2" name="AutoShape 32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3" name="AutoShape 320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4" name="AutoShape 319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5" name="AutoShape 318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6" name="AutoShape 31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7" name="AutoShape 31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8" name="AutoShape 31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59" name="AutoShape 31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0" name="AutoShape 31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1" name="AutoShape 31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2" name="AutoShape 31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3" name="AutoShape 31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4" name="AutoShape 309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5" name="AutoShape 30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6" name="AutoShape 307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7" name="AutoShape 30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8" name="AutoShape 30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69" name="AutoShape 30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0" name="AutoShape 30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1" name="AutoShape 30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2" name="AutoShape 30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3" name="AutoShape 300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4" name="AutoShape 29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5" name="AutoShape 29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6" name="AutoShape 29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7" name="AutoShape 29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8" name="AutoShape 29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79" name="AutoShape 29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0" name="AutoShape 29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1" name="AutoShape 29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2" name="AutoShape 29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3" name="AutoShape 29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4" name="AutoShape 28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5" name="AutoShape 288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6" name="AutoShape 287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7" name="AutoShape 2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8" name="AutoShape 28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89" name="AutoShape 28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0" name="AutoShape 28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1" name="AutoShape 28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2" name="AutoShape 28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3" name="AutoShape 28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4" name="AutoShape 27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5" name="AutoShape 278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6" name="AutoShape 277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7" name="AutoShape 27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8" name="AutoShape 27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099" name="AutoShape 27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0" name="AutoShape 27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1" name="AutoShape 27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2" name="AutoShape 27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3" name="AutoShape 270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4" name="AutoShape 26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5" name="AutoShape 26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6" name="AutoShape 267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7" name="AutoShape 26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8" name="AutoShape 265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09" name="AutoShape 26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0" name="AutoShape 26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1" name="AutoShape 262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2" name="AutoShape 26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3" name="AutoShape 260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4" name="AutoShape 25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5" name="AutoShape 25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6" name="AutoShape 257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7" name="AutoShape 25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8" name="AutoShape 25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19" name="AutoShape 25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0" name="AutoShape 25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1" name="AutoShape 25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2" name="AutoShape 25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3" name="AutoShape 250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4" name="AutoShape 24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5" name="AutoShape 248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6" name="AutoShape 247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7" name="AutoShape 24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8" name="AutoShape 245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29" name="AutoShape 24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0" name="AutoShape 24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1" name="AutoShape 24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2" name="AutoShape 24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3" name="AutoShape 24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4" name="AutoShape 23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5" name="AutoShape 238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6" name="AutoShape 23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7" name="AutoShape 2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8" name="AutoShape 235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39" name="AutoShape 23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0" name="AutoShape 23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1" name="AutoShape 232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2" name="AutoShape 23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3" name="AutoShape 2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4" name="AutoShape 34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5" name="AutoShape 34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6" name="AutoShape 342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7" name="AutoShape 34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8" name="AutoShape 34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49" name="AutoShape 339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0" name="AutoShape 33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1" name="AutoShape 337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2" name="AutoShape 33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3" name="AutoShape 33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4" name="AutoShape 33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5" name="AutoShape 33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6" name="AutoShape 332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7" name="AutoShape 33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8" name="AutoShape 33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59" name="AutoShape 32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0" name="AutoShape 3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1" name="AutoShape 327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2" name="AutoShape 326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3" name="AutoShape 32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4" name="AutoShape 32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5" name="AutoShape 32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6" name="AutoShape 32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7" name="AutoShape 32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8" name="AutoShape 32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69" name="AutoShape 31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0" name="AutoShape 31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1" name="AutoShape 31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2" name="AutoShape 3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3" name="AutoShape 31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4" name="AutoShape 314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5" name="AutoShape 31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6" name="AutoShape 31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7" name="AutoShape 31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8" name="AutoShape 3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79" name="AutoShape 30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0" name="AutoShape 308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1" name="AutoShape 307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2" name="AutoShape 30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3" name="AutoShape 30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4" name="AutoShape 30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5" name="AutoShape 30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6" name="AutoShape 30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7" name="AutoShape 30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8" name="AutoShape 30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89" name="AutoShape 29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0" name="AutoShape 298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1" name="AutoShape 297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2" name="AutoShape 29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3" name="AutoShape 29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4" name="AutoShape 29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5" name="AutoShape 29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6" name="AutoShape 29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7" name="AutoShape 29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8" name="AutoShape 29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199" name="AutoShape 28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0" name="AutoShape 28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1" name="AutoShape 287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2" name="AutoShape 286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3" name="AutoShape 28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4" name="AutoShape 28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5" name="AutoShape 28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6" name="AutoShape 282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7" name="AutoShape 28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8" name="AutoShape 28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09" name="AutoShape 27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0" name="AutoShape 27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1" name="AutoShape 277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2" name="AutoShape 27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3" name="AutoShape 2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4" name="AutoShape 27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5" name="AutoShape 27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6" name="AutoShape 272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7" name="AutoShape 27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8" name="AutoShape 27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19" name="AutoShape 26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0" name="AutoShape 26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1" name="AutoShape 267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2" name="AutoShape 26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3" name="AutoShape 26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4" name="AutoShape 26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5" name="AutoShape 26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6" name="AutoShape 26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7" name="AutoShape 26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8" name="AutoShape 26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29" name="AutoShape 25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0" name="AutoShape 258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1" name="AutoShape 257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2" name="AutoShape 256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3" name="AutoShape 25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4" name="AutoShape 25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5" name="AutoShape 25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6" name="AutoShape 25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7" name="AutoShape 25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8" name="AutoShape 25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39" name="AutoShape 249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0" name="AutoShape 24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1" name="AutoShape 247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2" name="AutoShape 246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3" name="AutoShape 24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4" name="AutoShape 24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5" name="AutoShape 24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6" name="AutoShape 24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7" name="AutoShape 24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8" name="AutoShape 24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49" name="AutoShape 239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0" name="AutoShape 238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1" name="AutoShape 23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2" name="AutoShape 236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3" name="AutoShape 23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4" name="AutoShape 23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5" name="AutoShape 23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6" name="AutoShape 23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7" name="AutoShape 23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8" name="AutoShape 23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59" name="AutoShape 34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0" name="AutoShape 34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1" name="AutoShape 34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2" name="AutoShape 34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3" name="AutoShape 34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4" name="AutoShape 33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5" name="AutoShape 33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6" name="AutoShape 337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7" name="AutoShape 33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8" name="AutoShape 335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69" name="AutoShape 33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0" name="AutoShape 33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1" name="AutoShape 33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2" name="AutoShape 33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3" name="AutoShape 33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4" name="AutoShape 32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5" name="AutoShape 32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6" name="AutoShape 327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7" name="AutoShape 32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8" name="AutoShape 325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79" name="AutoShape 32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0" name="AutoShape 32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1" name="AutoShape 32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2" name="AutoShape 32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3" name="AutoShape 32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4" name="AutoShape 31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5" name="AutoShape 31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6" name="AutoShape 317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7" name="AutoShape 31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8" name="AutoShape 315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89" name="AutoShape 31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0" name="AutoShape 31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1" name="AutoShape 31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2" name="AutoShape 31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3" name="AutoShape 310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4" name="AutoShape 309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5" name="AutoShape 30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6" name="AutoShape 307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7" name="AutoShape 30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8" name="AutoShape 305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299" name="AutoShape 30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0" name="AutoShape 30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1" name="AutoShape 30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2" name="AutoShape 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3" name="AutoShape 300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4" name="AutoShape 299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5" name="AutoShape 29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6" name="AutoShape 297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7" name="AutoShape 29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8" name="AutoShape 295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09" name="AutoShape 29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0" name="AutoShape 29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1" name="AutoShape 29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2" name="AutoShape 29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3" name="AutoShape 29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4" name="AutoShape 28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5" name="AutoShape 28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6" name="AutoShape 287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7" name="AutoShape 28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8" name="AutoShape 28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19" name="AutoShape 28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0" name="AutoShape 28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1" name="AutoShape 282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2" name="AutoShape 28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3" name="AutoShape 28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4" name="AutoShape 27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5" name="AutoShape 27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6" name="AutoShape 277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7" name="AutoShape 27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8" name="AutoShape 27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29" name="AutoShape 27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0" name="AutoShape 27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1" name="AutoShape 27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2" name="AutoShape 27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3" name="AutoShape 270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4" name="AutoShape 26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5" name="AutoShape 268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6" name="AutoShape 26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7" name="AutoShape 26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8" name="AutoShape 26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39" name="AutoShape 26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0" name="AutoShape 26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1" name="AutoShape 26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2" name="AutoShape 26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3" name="AutoShape 260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4" name="AutoShape 25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5" name="AutoShape 25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6" name="AutoShape 257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7" name="AutoShape 25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8" name="AutoShape 255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49" name="AutoShape 25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0" name="AutoShape 2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1" name="AutoShape 25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2" name="AutoShape 2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3" name="AutoShape 250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4" name="AutoShape 24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5" name="AutoShape 24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6" name="AutoShape 247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7" name="AutoShape 24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8" name="AutoShape 245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59" name="AutoShape 24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0" name="AutoShape 24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1" name="AutoShape 24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2" name="AutoShape 24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3" name="AutoShape 240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4" name="AutoShape 23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5" name="AutoShape 238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6" name="AutoShape 23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7" name="AutoShape 23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8" name="AutoShape 23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69" name="AutoShape 23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0" name="AutoShape 23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1" name="AutoShape 23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2" name="AutoShape 23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3" name="AutoShape 230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4" name="AutoShape 34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5" name="AutoShape 34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6" name="AutoShape 34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7" name="AutoShape 34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8" name="AutoShape 340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79" name="AutoShape 339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0" name="AutoShape 33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1" name="AutoShape 33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2" name="AutoShape 336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3" name="AutoShape 335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4" name="AutoShape 33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5" name="AutoShape 33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6" name="AutoShape 33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7" name="AutoShape 33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8" name="AutoShape 330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89" name="AutoShape 32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0" name="AutoShape 32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1" name="AutoShape 32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2" name="AutoShape 32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3" name="AutoShape 325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4" name="AutoShape 32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5" name="AutoShape 32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6" name="AutoShape 32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7" name="AutoShape 32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8" name="AutoShape 320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399" name="AutoShape 319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0" name="AutoShape 318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1" name="AutoShape 31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2" name="AutoShape 31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3" name="AutoShape 315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4" name="AutoShape 31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5" name="AutoShape 31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6" name="AutoShape 31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7" name="AutoShape 31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8" name="AutoShape 310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09" name="AutoShape 309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0" name="AutoShape 308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1" name="AutoShape 30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2" name="AutoShape 30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3" name="AutoShape 305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4" name="AutoShape 30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5" name="AutoShape 30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6" name="AutoShape 30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7" name="AutoShape 30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8" name="AutoShape 30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19" name="AutoShape 299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0" name="AutoShape 29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1" name="AutoShape 29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2" name="AutoShape 29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3" name="AutoShape 295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4" name="AutoShape 29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5" name="AutoShape 29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6" name="AutoShape 29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7" name="AutoShape 29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8" name="AutoShape 290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29" name="AutoShape 28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0" name="AutoShape 288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1" name="AutoShape 28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2" name="AutoShape 28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3" name="AutoShape 28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4" name="AutoShape 28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5" name="AutoShape 28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6" name="AutoShape 28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7" name="AutoShape 28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8" name="AutoShape 28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39" name="AutoShape 279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0" name="AutoShape 278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1" name="AutoShape 27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2" name="AutoShape 27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3" name="AutoShape 27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4" name="AutoShape 27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5" name="AutoShape 27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6" name="AutoShape 27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7" name="AutoShape 27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8" name="AutoShape 270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49" name="AutoShape 26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0" name="AutoShape 2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1" name="AutoShape 26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2" name="AutoShape 26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3" name="AutoShape 265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4" name="AutoShape 26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5" name="AutoShape 26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6" name="AutoShape 26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7" name="AutoShape 26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8" name="AutoShape 260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59" name="AutoShape 259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0" name="AutoShape 258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1" name="AutoShape 25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2" name="AutoShape 25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3" name="AutoShape 255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4" name="AutoShape 25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5" name="AutoShape 25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6" name="AutoShape 25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7" name="AutoShape 25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8" name="AutoShape 250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69" name="AutoShape 24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0" name="AutoShape 24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1" name="AutoShape 24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2" name="AutoShape 246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3" name="AutoShape 245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4" name="AutoShape 24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5" name="AutoShape 24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6" name="AutoShape 24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7" name="AutoShape 24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8" name="AutoShape 240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79" name="AutoShape 23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0" name="AutoShape 238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1" name="AutoShape 23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2" name="AutoShape 23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3" name="AutoShape 235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4" name="AutoShape 23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5" name="AutoShape 23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6" name="AutoShape 23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7" name="AutoShape 23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8" name="AutoShape 230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89" name="AutoShape 34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0" name="AutoShape 34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1" name="AutoShape 34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2" name="AutoShape 34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3" name="AutoShape 340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4" name="AutoShape 33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5" name="AutoShape 338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6" name="AutoShape 337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7" name="AutoShape 3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8" name="AutoShape 335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499" name="AutoShape 33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0" name="AutoShape 33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1" name="AutoShape 332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2" name="AutoShape 33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3" name="AutoShape 330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4" name="AutoShape 329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5" name="AutoShape 328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6" name="AutoShape 327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7" name="AutoShape 3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8" name="AutoShape 3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09" name="AutoShape 32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0" name="AutoShape 32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1" name="AutoShape 322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2" name="AutoShape 32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3" name="AutoShape 32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4" name="AutoShape 31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5" name="AutoShape 3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6" name="AutoShape 31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7" name="AutoShape 3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8" name="AutoShape 315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19" name="AutoShape 31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0" name="AutoShape 31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1" name="AutoShape 31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2" name="AutoShape 31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3" name="AutoShape 310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4" name="AutoShape 3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5" name="AutoShape 308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6" name="AutoShape 307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7" name="AutoShape 30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8" name="AutoShape 305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29" name="AutoShape 30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0" name="AutoShape 30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1" name="AutoShape 30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2" name="AutoShape 30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3" name="AutoShape 300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4" name="AutoShape 299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5" name="AutoShape 298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6" name="AutoShape 297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7" name="AutoShape 29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8" name="AutoShape 29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39" name="AutoShape 294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0" name="AutoShape 29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1" name="AutoShape 29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2" name="AutoShape 29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3" name="AutoShape 29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4" name="AutoShape 289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5" name="AutoShape 288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6" name="AutoShape 28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7" name="AutoShape 28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8" name="AutoShape 28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49" name="AutoShape 28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0" name="AutoShape 28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1" name="AutoShape 28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2" name="AutoShape 28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3" name="AutoShape 280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4" name="AutoShape 279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5" name="AutoShape 27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6" name="AutoShape 277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7" name="AutoShape 27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8" name="AutoShape 275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59" name="AutoShape 274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0" name="AutoShape 27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1" name="AutoShape 27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2" name="AutoShape 27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3" name="AutoShape 270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4" name="AutoShape 269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5" name="AutoShape 268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6" name="AutoShape 267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7" name="AutoShape 2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8" name="AutoShape 265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69" name="AutoShape 264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0" name="AutoShape 26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1" name="AutoShape 26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2" name="AutoShape 26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3" name="AutoShape 260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4" name="AutoShape 259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5" name="AutoShape 25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6" name="AutoShape 25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7" name="AutoShape 25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8" name="AutoShape 255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79" name="AutoShape 254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0" name="AutoShape 25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1" name="AutoShape 252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2" name="AutoShape 25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3" name="AutoShape 25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4" name="AutoShape 249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5" name="AutoShape 24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6" name="AutoShape 247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7" name="AutoShape 24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8" name="AutoShape 245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89" name="AutoShape 24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0" name="AutoShape 24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1" name="AutoShape 242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2" name="AutoShape 24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3" name="AutoShape 24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4" name="AutoShape 239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5" name="AutoShape 23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6" name="AutoShape 23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7" name="AutoShape 23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8" name="AutoShape 235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599" name="AutoShape 234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0" name="AutoShape 23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1" name="AutoShape 23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2" name="AutoShape 23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3" name="AutoShape 230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" name="AutoShape 3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" name="AutoShape 3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4" name="AutoShape 3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5" name="AutoShape 34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6" name="AutoShape 34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7" name="AutoShape 3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8" name="AutoShape 3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9" name="AutoShape 33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0" name="AutoShape 33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1" name="AutoShape 33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2" name="AutoShape 33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3" name="AutoShape 33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4" name="AutoShape 3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5" name="AutoShape 3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6" name="AutoShape 33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7" name="AutoShape 32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8" name="AutoShape 3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49" name="AutoShape 32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0" name="AutoShape 32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1" name="AutoShape 32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2" name="AutoShape 32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3" name="AutoShape 32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4" name="AutoShape 3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5" name="AutoShape 32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6" name="AutoShape 32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7" name="AutoShape 31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8" name="AutoShape 31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59" name="AutoShape 31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60" name="AutoShape 31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61" name="AutoShape 3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62" name="AutoShape 3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63" name="AutoShape 3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4" name="AutoShape 312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5" name="AutoShape 31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6" name="AutoShape 310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7" name="AutoShape 309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8" name="AutoShape 30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09" name="AutoShape 307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0" name="AutoShape 306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1" name="AutoShape 30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2" name="AutoShape 304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3" name="AutoShape 30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4" name="AutoShape 30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5" name="AutoShape 30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6" name="AutoShape 300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7" name="AutoShape 299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8" name="AutoShape 29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19" name="AutoShape 297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0" name="AutoShape 296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1" name="AutoShape 29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2" name="AutoShape 294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3" name="AutoShape 29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4" name="AutoShape 29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5" name="AutoShape 29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6" name="AutoShape 290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7" name="AutoShape 289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8" name="AutoShape 28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29" name="AutoShape 287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0" name="AutoShape 28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1" name="AutoShape 28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2" name="AutoShape 28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3" name="AutoShape 28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4" name="AutoShape 282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5" name="AutoShape 28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6" name="AutoShape 280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7" name="AutoShape 27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8" name="AutoShape 27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39" name="AutoShape 277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0" name="AutoShape 27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1" name="AutoShape 27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2" name="AutoShape 27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3" name="AutoShape 27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4" name="AutoShape 272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5" name="AutoShape 27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6" name="AutoShape 27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7" name="AutoShape 269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8" name="AutoShape 26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49" name="AutoShape 267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0" name="AutoShape 266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1" name="AutoShape 26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2" name="AutoShape 26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3" name="AutoShape 26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4" name="AutoShape 26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5" name="AutoShape 26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6" name="AutoShape 26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7" name="AutoShape 259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8" name="AutoShape 25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59" name="AutoShape 257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0" name="AutoShape 256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1" name="AutoShape 255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2" name="AutoShape 25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3" name="AutoShape 25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4" name="AutoShape 252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5" name="AutoShape 25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6" name="AutoShape 250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7" name="AutoShape 249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8" name="AutoShape 24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69" name="AutoShape 247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0" name="AutoShape 24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1" name="AutoShape 245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2" name="AutoShape 244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3" name="AutoShape 24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4" name="AutoShape 24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5" name="AutoShape 24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6" name="AutoShape 240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7" name="AutoShape 239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8" name="AutoShape 238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79" name="AutoShape 237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0" name="AutoShape 23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1" name="AutoShape 235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2" name="AutoShape 2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3" name="AutoShape 23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4" name="AutoShape 232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5" name="AutoShape 23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6" name="AutoShape 23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7" name="AutoShape 344">
          <a:extLst>
            <a:ext uri="{FF2B5EF4-FFF2-40B4-BE49-F238E27FC236}">
              <a16:creationId xmlns:a16="http://schemas.microsoft.com/office/drawing/2014/main" id="{BBFE4C86-2557-4101-86DD-A5CBE91004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8" name="AutoShape 343">
          <a:extLst>
            <a:ext uri="{FF2B5EF4-FFF2-40B4-BE49-F238E27FC236}">
              <a16:creationId xmlns:a16="http://schemas.microsoft.com/office/drawing/2014/main" id="{FA227F0C-FE28-408E-8972-CF6FCB0386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89" name="AutoShape 342">
          <a:extLst>
            <a:ext uri="{FF2B5EF4-FFF2-40B4-BE49-F238E27FC236}">
              <a16:creationId xmlns:a16="http://schemas.microsoft.com/office/drawing/2014/main" id="{5AABE3DC-8DBF-4858-AA9F-82203DB1D5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0" name="AutoShape 341">
          <a:extLst>
            <a:ext uri="{FF2B5EF4-FFF2-40B4-BE49-F238E27FC236}">
              <a16:creationId xmlns:a16="http://schemas.microsoft.com/office/drawing/2014/main" id="{F41B8A59-0853-45A2-AD13-D5AF471EDE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1" name="AutoShape 340">
          <a:extLst>
            <a:ext uri="{FF2B5EF4-FFF2-40B4-BE49-F238E27FC236}">
              <a16:creationId xmlns:a16="http://schemas.microsoft.com/office/drawing/2014/main" id="{B873BE88-6175-4D6B-86F5-9E7F7CF1171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2" name="AutoShape 339">
          <a:extLst>
            <a:ext uri="{FF2B5EF4-FFF2-40B4-BE49-F238E27FC236}">
              <a16:creationId xmlns:a16="http://schemas.microsoft.com/office/drawing/2014/main" id="{50343870-A781-4AA3-9820-97DAF587E4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3" name="AutoShape 338">
          <a:extLst>
            <a:ext uri="{FF2B5EF4-FFF2-40B4-BE49-F238E27FC236}">
              <a16:creationId xmlns:a16="http://schemas.microsoft.com/office/drawing/2014/main" id="{B0D65966-951C-4909-8959-D12BC4EC8F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4" name="AutoShape 337">
          <a:extLst>
            <a:ext uri="{FF2B5EF4-FFF2-40B4-BE49-F238E27FC236}">
              <a16:creationId xmlns:a16="http://schemas.microsoft.com/office/drawing/2014/main" id="{971B925E-7838-420F-8639-C4C0368436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5" name="AutoShape 336">
          <a:extLst>
            <a:ext uri="{FF2B5EF4-FFF2-40B4-BE49-F238E27FC236}">
              <a16:creationId xmlns:a16="http://schemas.microsoft.com/office/drawing/2014/main" id="{2FDB476D-01BA-4DF0-A9BB-2F3A97FBE4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6" name="AutoShape 335">
          <a:extLst>
            <a:ext uri="{FF2B5EF4-FFF2-40B4-BE49-F238E27FC236}">
              <a16:creationId xmlns:a16="http://schemas.microsoft.com/office/drawing/2014/main" id="{643495D8-8180-46C2-B5B9-9B5FBC4387E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7" name="AutoShape 334">
          <a:extLst>
            <a:ext uri="{FF2B5EF4-FFF2-40B4-BE49-F238E27FC236}">
              <a16:creationId xmlns:a16="http://schemas.microsoft.com/office/drawing/2014/main" id="{3CCF16F4-F0AD-4182-AC3F-DF03BC0803C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8" name="AutoShape 333">
          <a:extLst>
            <a:ext uri="{FF2B5EF4-FFF2-40B4-BE49-F238E27FC236}">
              <a16:creationId xmlns:a16="http://schemas.microsoft.com/office/drawing/2014/main" id="{201D8226-4B7C-4088-820F-F02A3824B0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699" name="AutoShape 332">
          <a:extLst>
            <a:ext uri="{FF2B5EF4-FFF2-40B4-BE49-F238E27FC236}">
              <a16:creationId xmlns:a16="http://schemas.microsoft.com/office/drawing/2014/main" id="{A96B396E-7B7C-4274-96C8-7AABBF6F46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0" name="AutoShape 331">
          <a:extLst>
            <a:ext uri="{FF2B5EF4-FFF2-40B4-BE49-F238E27FC236}">
              <a16:creationId xmlns:a16="http://schemas.microsoft.com/office/drawing/2014/main" id="{BD4CEC72-0451-45DA-B688-58EE1D0AC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1" name="AutoShape 330">
          <a:extLst>
            <a:ext uri="{FF2B5EF4-FFF2-40B4-BE49-F238E27FC236}">
              <a16:creationId xmlns:a16="http://schemas.microsoft.com/office/drawing/2014/main" id="{BDC02980-5CFF-43A7-8065-64D270864A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2" name="AutoShape 329">
          <a:extLst>
            <a:ext uri="{FF2B5EF4-FFF2-40B4-BE49-F238E27FC236}">
              <a16:creationId xmlns:a16="http://schemas.microsoft.com/office/drawing/2014/main" id="{D98D024F-88B4-4ECD-A08E-4D11456DCE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3" name="AutoShape 328">
          <a:extLst>
            <a:ext uri="{FF2B5EF4-FFF2-40B4-BE49-F238E27FC236}">
              <a16:creationId xmlns:a16="http://schemas.microsoft.com/office/drawing/2014/main" id="{0D39055A-6317-49A5-95B0-1EB9FD1FC28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4" name="AutoShape 327">
          <a:extLst>
            <a:ext uri="{FF2B5EF4-FFF2-40B4-BE49-F238E27FC236}">
              <a16:creationId xmlns:a16="http://schemas.microsoft.com/office/drawing/2014/main" id="{58DB0A80-9C66-49C5-935B-01A4A8365E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5" name="AutoShape 326">
          <a:extLst>
            <a:ext uri="{FF2B5EF4-FFF2-40B4-BE49-F238E27FC236}">
              <a16:creationId xmlns:a16="http://schemas.microsoft.com/office/drawing/2014/main" id="{A3B4A82E-E741-487E-B614-400D9A3B80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6" name="AutoShape 325">
          <a:extLst>
            <a:ext uri="{FF2B5EF4-FFF2-40B4-BE49-F238E27FC236}">
              <a16:creationId xmlns:a16="http://schemas.microsoft.com/office/drawing/2014/main" id="{D53EB5DB-F441-462E-898B-A4E4CC8C56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7" name="AutoShape 324">
          <a:extLst>
            <a:ext uri="{FF2B5EF4-FFF2-40B4-BE49-F238E27FC236}">
              <a16:creationId xmlns:a16="http://schemas.microsoft.com/office/drawing/2014/main" id="{4B8FE858-1889-4FB6-8D5C-9BC8A8196E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8" name="AutoShape 323">
          <a:extLst>
            <a:ext uri="{FF2B5EF4-FFF2-40B4-BE49-F238E27FC236}">
              <a16:creationId xmlns:a16="http://schemas.microsoft.com/office/drawing/2014/main" id="{36B4068E-D502-48CA-9973-28BEBF5EB4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09" name="AutoShape 322">
          <a:extLst>
            <a:ext uri="{FF2B5EF4-FFF2-40B4-BE49-F238E27FC236}">
              <a16:creationId xmlns:a16="http://schemas.microsoft.com/office/drawing/2014/main" id="{149BE84C-E635-4AF8-9FD8-E462B00765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0" name="AutoShape 321">
          <a:extLst>
            <a:ext uri="{FF2B5EF4-FFF2-40B4-BE49-F238E27FC236}">
              <a16:creationId xmlns:a16="http://schemas.microsoft.com/office/drawing/2014/main" id="{CBC31E81-66C1-4517-8C75-883AEB9E4A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1" name="AutoShape 320">
          <a:extLst>
            <a:ext uri="{FF2B5EF4-FFF2-40B4-BE49-F238E27FC236}">
              <a16:creationId xmlns:a16="http://schemas.microsoft.com/office/drawing/2014/main" id="{7A349498-378B-49FE-94CC-7C13E7E6C0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2" name="AutoShape 319">
          <a:extLst>
            <a:ext uri="{FF2B5EF4-FFF2-40B4-BE49-F238E27FC236}">
              <a16:creationId xmlns:a16="http://schemas.microsoft.com/office/drawing/2014/main" id="{E390B38C-5A40-469D-8D93-C1D482E207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3" name="AutoShape 318">
          <a:extLst>
            <a:ext uri="{FF2B5EF4-FFF2-40B4-BE49-F238E27FC236}">
              <a16:creationId xmlns:a16="http://schemas.microsoft.com/office/drawing/2014/main" id="{46C41F7F-24C1-4DAF-BF4D-5A30934ECC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4" name="AutoShape 317">
          <a:extLst>
            <a:ext uri="{FF2B5EF4-FFF2-40B4-BE49-F238E27FC236}">
              <a16:creationId xmlns:a16="http://schemas.microsoft.com/office/drawing/2014/main" id="{F5FD827B-B733-4487-A9C5-D1A403B514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5" name="AutoShape 316">
          <a:extLst>
            <a:ext uri="{FF2B5EF4-FFF2-40B4-BE49-F238E27FC236}">
              <a16:creationId xmlns:a16="http://schemas.microsoft.com/office/drawing/2014/main" id="{DAAF2E5D-2937-403E-8A2A-6048AA330E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6" name="AutoShape 315">
          <a:extLst>
            <a:ext uri="{FF2B5EF4-FFF2-40B4-BE49-F238E27FC236}">
              <a16:creationId xmlns:a16="http://schemas.microsoft.com/office/drawing/2014/main" id="{206557A0-75D7-44FD-B6CD-059450CE40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7" name="AutoShape 314">
          <a:extLst>
            <a:ext uri="{FF2B5EF4-FFF2-40B4-BE49-F238E27FC236}">
              <a16:creationId xmlns:a16="http://schemas.microsoft.com/office/drawing/2014/main" id="{E5592529-97DD-45B0-89EF-84CD6BD4A1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8" name="AutoShape 313">
          <a:extLst>
            <a:ext uri="{FF2B5EF4-FFF2-40B4-BE49-F238E27FC236}">
              <a16:creationId xmlns:a16="http://schemas.microsoft.com/office/drawing/2014/main" id="{384601B1-A883-40A3-A067-9852A5876C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19" name="AutoShape 312">
          <a:extLst>
            <a:ext uri="{FF2B5EF4-FFF2-40B4-BE49-F238E27FC236}">
              <a16:creationId xmlns:a16="http://schemas.microsoft.com/office/drawing/2014/main" id="{8EAAF5D5-4B86-4FB3-8A5C-B6EDB709ACB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0" name="AutoShape 311">
          <a:extLst>
            <a:ext uri="{FF2B5EF4-FFF2-40B4-BE49-F238E27FC236}">
              <a16:creationId xmlns:a16="http://schemas.microsoft.com/office/drawing/2014/main" id="{67749B57-24E4-4BC7-A5E9-269AE8F2C9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1" name="AutoShape 310">
          <a:extLst>
            <a:ext uri="{FF2B5EF4-FFF2-40B4-BE49-F238E27FC236}">
              <a16:creationId xmlns:a16="http://schemas.microsoft.com/office/drawing/2014/main" id="{3D2A5236-C68E-4CA3-8346-8A1C15AF7CC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2" name="AutoShape 309">
          <a:extLst>
            <a:ext uri="{FF2B5EF4-FFF2-40B4-BE49-F238E27FC236}">
              <a16:creationId xmlns:a16="http://schemas.microsoft.com/office/drawing/2014/main" id="{DC086D3D-1812-4FF8-A8AA-2DFFA2AC28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3" name="AutoShape 308">
          <a:extLst>
            <a:ext uri="{FF2B5EF4-FFF2-40B4-BE49-F238E27FC236}">
              <a16:creationId xmlns:a16="http://schemas.microsoft.com/office/drawing/2014/main" id="{678E6788-F0AA-4289-96E6-CC138386DB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4" name="AutoShape 307">
          <a:extLst>
            <a:ext uri="{FF2B5EF4-FFF2-40B4-BE49-F238E27FC236}">
              <a16:creationId xmlns:a16="http://schemas.microsoft.com/office/drawing/2014/main" id="{9C02FA56-F055-4845-9C5B-4C2F53EB7D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5" name="AutoShape 306">
          <a:extLst>
            <a:ext uri="{FF2B5EF4-FFF2-40B4-BE49-F238E27FC236}">
              <a16:creationId xmlns:a16="http://schemas.microsoft.com/office/drawing/2014/main" id="{78E0DC9F-5C3E-43E7-B075-63DF89BE74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6" name="AutoShape 305">
          <a:extLst>
            <a:ext uri="{FF2B5EF4-FFF2-40B4-BE49-F238E27FC236}">
              <a16:creationId xmlns:a16="http://schemas.microsoft.com/office/drawing/2014/main" id="{B2DB374F-23C1-4129-B377-5A436B218E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7" name="AutoShape 304">
          <a:extLst>
            <a:ext uri="{FF2B5EF4-FFF2-40B4-BE49-F238E27FC236}">
              <a16:creationId xmlns:a16="http://schemas.microsoft.com/office/drawing/2014/main" id="{28DC0730-6A31-40D6-B86C-F49239AAAE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8" name="AutoShape 303">
          <a:extLst>
            <a:ext uri="{FF2B5EF4-FFF2-40B4-BE49-F238E27FC236}">
              <a16:creationId xmlns:a16="http://schemas.microsoft.com/office/drawing/2014/main" id="{F9D5ACD2-1C37-45EB-914C-5357A6E821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29" name="AutoShape 302">
          <a:extLst>
            <a:ext uri="{FF2B5EF4-FFF2-40B4-BE49-F238E27FC236}">
              <a16:creationId xmlns:a16="http://schemas.microsoft.com/office/drawing/2014/main" id="{630AD483-B225-4BC1-AE95-BD8A505ED6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0" name="AutoShape 301">
          <a:extLst>
            <a:ext uri="{FF2B5EF4-FFF2-40B4-BE49-F238E27FC236}">
              <a16:creationId xmlns:a16="http://schemas.microsoft.com/office/drawing/2014/main" id="{9460B460-5DAA-4D89-B17E-A7DEFDF580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1" name="AutoShape 300">
          <a:extLst>
            <a:ext uri="{FF2B5EF4-FFF2-40B4-BE49-F238E27FC236}">
              <a16:creationId xmlns:a16="http://schemas.microsoft.com/office/drawing/2014/main" id="{85B2AE10-3648-43EB-86AE-1B81FAEE48A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2" name="AutoShape 299">
          <a:extLst>
            <a:ext uri="{FF2B5EF4-FFF2-40B4-BE49-F238E27FC236}">
              <a16:creationId xmlns:a16="http://schemas.microsoft.com/office/drawing/2014/main" id="{5ECD50A0-3D8E-4DC0-B177-A090255BFF1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3" name="AutoShape 298">
          <a:extLst>
            <a:ext uri="{FF2B5EF4-FFF2-40B4-BE49-F238E27FC236}">
              <a16:creationId xmlns:a16="http://schemas.microsoft.com/office/drawing/2014/main" id="{09CDC99E-45AD-48FF-B113-B346056D09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4" name="AutoShape 297">
          <a:extLst>
            <a:ext uri="{FF2B5EF4-FFF2-40B4-BE49-F238E27FC236}">
              <a16:creationId xmlns:a16="http://schemas.microsoft.com/office/drawing/2014/main" id="{48E4B88E-363A-4AC2-A07C-D2A415618B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5" name="AutoShape 296">
          <a:extLst>
            <a:ext uri="{FF2B5EF4-FFF2-40B4-BE49-F238E27FC236}">
              <a16:creationId xmlns:a16="http://schemas.microsoft.com/office/drawing/2014/main" id="{8637DED4-8C91-4703-BC16-18C11481DA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6" name="AutoShape 295">
          <a:extLst>
            <a:ext uri="{FF2B5EF4-FFF2-40B4-BE49-F238E27FC236}">
              <a16:creationId xmlns:a16="http://schemas.microsoft.com/office/drawing/2014/main" id="{79DEBDCC-3C15-4574-84F0-C4C6875DB1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7" name="AutoShape 294">
          <a:extLst>
            <a:ext uri="{FF2B5EF4-FFF2-40B4-BE49-F238E27FC236}">
              <a16:creationId xmlns:a16="http://schemas.microsoft.com/office/drawing/2014/main" id="{0D4B459F-3669-4B83-B253-6D16DEB73FC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8" name="AutoShape 293">
          <a:extLst>
            <a:ext uri="{FF2B5EF4-FFF2-40B4-BE49-F238E27FC236}">
              <a16:creationId xmlns:a16="http://schemas.microsoft.com/office/drawing/2014/main" id="{A1C635B7-B091-498A-B9B6-871EF038966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39" name="AutoShape 292">
          <a:extLst>
            <a:ext uri="{FF2B5EF4-FFF2-40B4-BE49-F238E27FC236}">
              <a16:creationId xmlns:a16="http://schemas.microsoft.com/office/drawing/2014/main" id="{46BBCC57-0B35-45CB-BB53-CAE7D82A51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0" name="AutoShape 291">
          <a:extLst>
            <a:ext uri="{FF2B5EF4-FFF2-40B4-BE49-F238E27FC236}">
              <a16:creationId xmlns:a16="http://schemas.microsoft.com/office/drawing/2014/main" id="{DC264547-A2DC-4BA4-A757-362764AB50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1" name="AutoShape 290">
          <a:extLst>
            <a:ext uri="{FF2B5EF4-FFF2-40B4-BE49-F238E27FC236}">
              <a16:creationId xmlns:a16="http://schemas.microsoft.com/office/drawing/2014/main" id="{A1C8A3F2-3A72-43DA-912B-2F2BDE836B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2" name="AutoShape 289">
          <a:extLst>
            <a:ext uri="{FF2B5EF4-FFF2-40B4-BE49-F238E27FC236}">
              <a16:creationId xmlns:a16="http://schemas.microsoft.com/office/drawing/2014/main" id="{EF5FF162-1720-46A2-9BB4-D2E574ED4E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3" name="AutoShape 288">
          <a:extLst>
            <a:ext uri="{FF2B5EF4-FFF2-40B4-BE49-F238E27FC236}">
              <a16:creationId xmlns:a16="http://schemas.microsoft.com/office/drawing/2014/main" id="{131A8922-8D6A-49BC-94DA-68B71300300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4" name="AutoShape 287">
          <a:extLst>
            <a:ext uri="{FF2B5EF4-FFF2-40B4-BE49-F238E27FC236}">
              <a16:creationId xmlns:a16="http://schemas.microsoft.com/office/drawing/2014/main" id="{0B26E186-8CE5-4C30-B3A8-CECF50DF41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5" name="AutoShape 286">
          <a:extLst>
            <a:ext uri="{FF2B5EF4-FFF2-40B4-BE49-F238E27FC236}">
              <a16:creationId xmlns:a16="http://schemas.microsoft.com/office/drawing/2014/main" id="{CCA6C1C7-A376-4534-9593-78008A2D242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6" name="AutoShape 285">
          <a:extLst>
            <a:ext uri="{FF2B5EF4-FFF2-40B4-BE49-F238E27FC236}">
              <a16:creationId xmlns:a16="http://schemas.microsoft.com/office/drawing/2014/main" id="{57E350C3-644A-4965-AD85-D5E49119E63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7" name="AutoShape 284">
          <a:extLst>
            <a:ext uri="{FF2B5EF4-FFF2-40B4-BE49-F238E27FC236}">
              <a16:creationId xmlns:a16="http://schemas.microsoft.com/office/drawing/2014/main" id="{D092C344-E26A-483A-A0F7-CCED108B05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8" name="AutoShape 283">
          <a:extLst>
            <a:ext uri="{FF2B5EF4-FFF2-40B4-BE49-F238E27FC236}">
              <a16:creationId xmlns:a16="http://schemas.microsoft.com/office/drawing/2014/main" id="{0E222573-D39D-4CA1-91F5-8B0DC6B219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49" name="AutoShape 282">
          <a:extLst>
            <a:ext uri="{FF2B5EF4-FFF2-40B4-BE49-F238E27FC236}">
              <a16:creationId xmlns:a16="http://schemas.microsoft.com/office/drawing/2014/main" id="{9E8A0E51-8C71-416D-AA9E-3182DB793C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0" name="AutoShape 281">
          <a:extLst>
            <a:ext uri="{FF2B5EF4-FFF2-40B4-BE49-F238E27FC236}">
              <a16:creationId xmlns:a16="http://schemas.microsoft.com/office/drawing/2014/main" id="{CE6CBCC5-7C37-4AFD-8D04-2C4F923CB5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1" name="AutoShape 280">
          <a:extLst>
            <a:ext uri="{FF2B5EF4-FFF2-40B4-BE49-F238E27FC236}">
              <a16:creationId xmlns:a16="http://schemas.microsoft.com/office/drawing/2014/main" id="{8187B35E-38B7-4321-932A-D1F2B07E2A7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2" name="AutoShape 279">
          <a:extLst>
            <a:ext uri="{FF2B5EF4-FFF2-40B4-BE49-F238E27FC236}">
              <a16:creationId xmlns:a16="http://schemas.microsoft.com/office/drawing/2014/main" id="{24D7C820-260A-4631-8AA7-184ACB0565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3" name="AutoShape 278">
          <a:extLst>
            <a:ext uri="{FF2B5EF4-FFF2-40B4-BE49-F238E27FC236}">
              <a16:creationId xmlns:a16="http://schemas.microsoft.com/office/drawing/2014/main" id="{8E6C8FF8-0E3B-4252-8F19-B5C7E8F223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4" name="AutoShape 277">
          <a:extLst>
            <a:ext uri="{FF2B5EF4-FFF2-40B4-BE49-F238E27FC236}">
              <a16:creationId xmlns:a16="http://schemas.microsoft.com/office/drawing/2014/main" id="{9C4D3B75-E14D-4DE8-81D0-A7D5C55C36A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5" name="AutoShape 276">
          <a:extLst>
            <a:ext uri="{FF2B5EF4-FFF2-40B4-BE49-F238E27FC236}">
              <a16:creationId xmlns:a16="http://schemas.microsoft.com/office/drawing/2014/main" id="{F19F4C33-7E21-4C1F-B9CB-73D67F7E7F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6" name="AutoShape 275">
          <a:extLst>
            <a:ext uri="{FF2B5EF4-FFF2-40B4-BE49-F238E27FC236}">
              <a16:creationId xmlns:a16="http://schemas.microsoft.com/office/drawing/2014/main" id="{3888752A-0F8F-4287-8CC2-373BF7E16E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7" name="AutoShape 274">
          <a:extLst>
            <a:ext uri="{FF2B5EF4-FFF2-40B4-BE49-F238E27FC236}">
              <a16:creationId xmlns:a16="http://schemas.microsoft.com/office/drawing/2014/main" id="{7B9C996F-6F27-4608-8D75-E92BC13438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8" name="AutoShape 273">
          <a:extLst>
            <a:ext uri="{FF2B5EF4-FFF2-40B4-BE49-F238E27FC236}">
              <a16:creationId xmlns:a16="http://schemas.microsoft.com/office/drawing/2014/main" id="{7CFA954E-4D36-4B72-864C-7CD4C36502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59" name="AutoShape 272">
          <a:extLst>
            <a:ext uri="{FF2B5EF4-FFF2-40B4-BE49-F238E27FC236}">
              <a16:creationId xmlns:a16="http://schemas.microsoft.com/office/drawing/2014/main" id="{0F14E6E5-9ECD-47ED-ACAC-D8D292CDDB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0" name="AutoShape 271">
          <a:extLst>
            <a:ext uri="{FF2B5EF4-FFF2-40B4-BE49-F238E27FC236}">
              <a16:creationId xmlns:a16="http://schemas.microsoft.com/office/drawing/2014/main" id="{C7B0E724-8867-4082-B91D-761201DBB7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1" name="AutoShape 270">
          <a:extLst>
            <a:ext uri="{FF2B5EF4-FFF2-40B4-BE49-F238E27FC236}">
              <a16:creationId xmlns:a16="http://schemas.microsoft.com/office/drawing/2014/main" id="{2AFE278E-80A8-4F51-862C-CBCBCFE2E7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2" name="AutoShape 269">
          <a:extLst>
            <a:ext uri="{FF2B5EF4-FFF2-40B4-BE49-F238E27FC236}">
              <a16:creationId xmlns:a16="http://schemas.microsoft.com/office/drawing/2014/main" id="{F2558298-5C93-40AB-A3B1-69FAA0197F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3" name="AutoShape 268">
          <a:extLst>
            <a:ext uri="{FF2B5EF4-FFF2-40B4-BE49-F238E27FC236}">
              <a16:creationId xmlns:a16="http://schemas.microsoft.com/office/drawing/2014/main" id="{25F2FCBE-12F8-4072-851D-0E7BFD789E1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4" name="AutoShape 267">
          <a:extLst>
            <a:ext uri="{FF2B5EF4-FFF2-40B4-BE49-F238E27FC236}">
              <a16:creationId xmlns:a16="http://schemas.microsoft.com/office/drawing/2014/main" id="{CEC37E34-11DC-40AB-84B7-4A50871654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5" name="AutoShape 266">
          <a:extLst>
            <a:ext uri="{FF2B5EF4-FFF2-40B4-BE49-F238E27FC236}">
              <a16:creationId xmlns:a16="http://schemas.microsoft.com/office/drawing/2014/main" id="{B3EC752C-C3F6-49E7-A89B-6E3A41F967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6" name="AutoShape 265">
          <a:extLst>
            <a:ext uri="{FF2B5EF4-FFF2-40B4-BE49-F238E27FC236}">
              <a16:creationId xmlns:a16="http://schemas.microsoft.com/office/drawing/2014/main" id="{6101A2A5-6CD9-46ED-835D-B08165296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7" name="AutoShape 264">
          <a:extLst>
            <a:ext uri="{FF2B5EF4-FFF2-40B4-BE49-F238E27FC236}">
              <a16:creationId xmlns:a16="http://schemas.microsoft.com/office/drawing/2014/main" id="{17A038F6-ECE2-4070-B2E3-6EA775339AC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8" name="AutoShape 263">
          <a:extLst>
            <a:ext uri="{FF2B5EF4-FFF2-40B4-BE49-F238E27FC236}">
              <a16:creationId xmlns:a16="http://schemas.microsoft.com/office/drawing/2014/main" id="{AFF51729-80FD-49FE-B782-4516753F58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69" name="AutoShape 262">
          <a:extLst>
            <a:ext uri="{FF2B5EF4-FFF2-40B4-BE49-F238E27FC236}">
              <a16:creationId xmlns:a16="http://schemas.microsoft.com/office/drawing/2014/main" id="{D3476F45-2571-435F-890C-417292F8CD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0" name="AutoShape 261">
          <a:extLst>
            <a:ext uri="{FF2B5EF4-FFF2-40B4-BE49-F238E27FC236}">
              <a16:creationId xmlns:a16="http://schemas.microsoft.com/office/drawing/2014/main" id="{CD6F685A-CEC2-4A9F-8F8F-1744BEEB2A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1" name="AutoShape 260">
          <a:extLst>
            <a:ext uri="{FF2B5EF4-FFF2-40B4-BE49-F238E27FC236}">
              <a16:creationId xmlns:a16="http://schemas.microsoft.com/office/drawing/2014/main" id="{76D044B8-29A6-466F-B0B0-6B63EDD8F7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2" name="AutoShape 259">
          <a:extLst>
            <a:ext uri="{FF2B5EF4-FFF2-40B4-BE49-F238E27FC236}">
              <a16:creationId xmlns:a16="http://schemas.microsoft.com/office/drawing/2014/main" id="{525D655A-C135-43B4-AEDC-B69BC51CD6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3" name="AutoShape 258">
          <a:extLst>
            <a:ext uri="{FF2B5EF4-FFF2-40B4-BE49-F238E27FC236}">
              <a16:creationId xmlns:a16="http://schemas.microsoft.com/office/drawing/2014/main" id="{137BE91A-A959-4D04-9F12-5F192120F6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4" name="AutoShape 257">
          <a:extLst>
            <a:ext uri="{FF2B5EF4-FFF2-40B4-BE49-F238E27FC236}">
              <a16:creationId xmlns:a16="http://schemas.microsoft.com/office/drawing/2014/main" id="{2CCE8F64-EDB7-4923-8E12-30E1EAEFA6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5" name="AutoShape 256">
          <a:extLst>
            <a:ext uri="{FF2B5EF4-FFF2-40B4-BE49-F238E27FC236}">
              <a16:creationId xmlns:a16="http://schemas.microsoft.com/office/drawing/2014/main" id="{FB60B3DB-4662-43FE-9D16-D9E7D72565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6" name="AutoShape 255">
          <a:extLst>
            <a:ext uri="{FF2B5EF4-FFF2-40B4-BE49-F238E27FC236}">
              <a16:creationId xmlns:a16="http://schemas.microsoft.com/office/drawing/2014/main" id="{1211054C-A8FE-4FD6-8A4B-AC06C6DE02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7" name="AutoShape 254">
          <a:extLst>
            <a:ext uri="{FF2B5EF4-FFF2-40B4-BE49-F238E27FC236}">
              <a16:creationId xmlns:a16="http://schemas.microsoft.com/office/drawing/2014/main" id="{B5BD91AE-E9B0-48AE-A68B-22C86568F3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8" name="AutoShape 253">
          <a:extLst>
            <a:ext uri="{FF2B5EF4-FFF2-40B4-BE49-F238E27FC236}">
              <a16:creationId xmlns:a16="http://schemas.microsoft.com/office/drawing/2014/main" id="{B47E884C-2AD2-4A24-8932-D40EFAABBA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79" name="AutoShape 252">
          <a:extLst>
            <a:ext uri="{FF2B5EF4-FFF2-40B4-BE49-F238E27FC236}">
              <a16:creationId xmlns:a16="http://schemas.microsoft.com/office/drawing/2014/main" id="{FD6D039E-67ED-445F-BB9E-D86EC487A8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0" name="AutoShape 251">
          <a:extLst>
            <a:ext uri="{FF2B5EF4-FFF2-40B4-BE49-F238E27FC236}">
              <a16:creationId xmlns:a16="http://schemas.microsoft.com/office/drawing/2014/main" id="{303C1374-094A-4E8C-B89E-957297BEB1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1" name="AutoShape 250">
          <a:extLst>
            <a:ext uri="{FF2B5EF4-FFF2-40B4-BE49-F238E27FC236}">
              <a16:creationId xmlns:a16="http://schemas.microsoft.com/office/drawing/2014/main" id="{56C4DDA4-9FC8-40D6-ACA2-DCD2DF2DBE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2" name="AutoShape 249">
          <a:extLst>
            <a:ext uri="{FF2B5EF4-FFF2-40B4-BE49-F238E27FC236}">
              <a16:creationId xmlns:a16="http://schemas.microsoft.com/office/drawing/2014/main" id="{5D2EED86-5751-4063-B288-30F6C27AE6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3" name="AutoShape 248">
          <a:extLst>
            <a:ext uri="{FF2B5EF4-FFF2-40B4-BE49-F238E27FC236}">
              <a16:creationId xmlns:a16="http://schemas.microsoft.com/office/drawing/2014/main" id="{D6F9F7F2-59E0-495F-965A-8C31D5B2B8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4" name="AutoShape 247">
          <a:extLst>
            <a:ext uri="{FF2B5EF4-FFF2-40B4-BE49-F238E27FC236}">
              <a16:creationId xmlns:a16="http://schemas.microsoft.com/office/drawing/2014/main" id="{8523C88C-7C2B-41C7-835D-A28C3053A2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5" name="AutoShape 246">
          <a:extLst>
            <a:ext uri="{FF2B5EF4-FFF2-40B4-BE49-F238E27FC236}">
              <a16:creationId xmlns:a16="http://schemas.microsoft.com/office/drawing/2014/main" id="{69085806-3848-427A-9E8C-50840905B9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6" name="AutoShape 245">
          <a:extLst>
            <a:ext uri="{FF2B5EF4-FFF2-40B4-BE49-F238E27FC236}">
              <a16:creationId xmlns:a16="http://schemas.microsoft.com/office/drawing/2014/main" id="{34B5D2E8-888B-46DA-8AC6-F40A6BDED3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7" name="AutoShape 244">
          <a:extLst>
            <a:ext uri="{FF2B5EF4-FFF2-40B4-BE49-F238E27FC236}">
              <a16:creationId xmlns:a16="http://schemas.microsoft.com/office/drawing/2014/main" id="{801BE8BD-3F4A-4D5B-93D7-5E235875540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8" name="AutoShape 243">
          <a:extLst>
            <a:ext uri="{FF2B5EF4-FFF2-40B4-BE49-F238E27FC236}">
              <a16:creationId xmlns:a16="http://schemas.microsoft.com/office/drawing/2014/main" id="{724BABE4-3144-4801-B36B-808075E51D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89" name="AutoShape 242">
          <a:extLst>
            <a:ext uri="{FF2B5EF4-FFF2-40B4-BE49-F238E27FC236}">
              <a16:creationId xmlns:a16="http://schemas.microsoft.com/office/drawing/2014/main" id="{CC331F98-8452-48F0-BF42-2307298F4BA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0" name="AutoShape 241">
          <a:extLst>
            <a:ext uri="{FF2B5EF4-FFF2-40B4-BE49-F238E27FC236}">
              <a16:creationId xmlns:a16="http://schemas.microsoft.com/office/drawing/2014/main" id="{165C896C-A819-4142-B028-30F6B232542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1" name="AutoShape 240">
          <a:extLst>
            <a:ext uri="{FF2B5EF4-FFF2-40B4-BE49-F238E27FC236}">
              <a16:creationId xmlns:a16="http://schemas.microsoft.com/office/drawing/2014/main" id="{A6C33683-0CC8-4E2A-B203-9F3231E99B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2" name="AutoShape 239">
          <a:extLst>
            <a:ext uri="{FF2B5EF4-FFF2-40B4-BE49-F238E27FC236}">
              <a16:creationId xmlns:a16="http://schemas.microsoft.com/office/drawing/2014/main" id="{4B13C34A-0C31-4062-A92F-8DF41D0F29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3" name="AutoShape 238">
          <a:extLst>
            <a:ext uri="{FF2B5EF4-FFF2-40B4-BE49-F238E27FC236}">
              <a16:creationId xmlns:a16="http://schemas.microsoft.com/office/drawing/2014/main" id="{50093BEC-0FCF-49DB-9B50-BCA3A549452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4" name="AutoShape 237">
          <a:extLst>
            <a:ext uri="{FF2B5EF4-FFF2-40B4-BE49-F238E27FC236}">
              <a16:creationId xmlns:a16="http://schemas.microsoft.com/office/drawing/2014/main" id="{B6D1CEDE-7FE4-491F-80F7-243A708640B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5" name="AutoShape 236">
          <a:extLst>
            <a:ext uri="{FF2B5EF4-FFF2-40B4-BE49-F238E27FC236}">
              <a16:creationId xmlns:a16="http://schemas.microsoft.com/office/drawing/2014/main" id="{82E8F149-4827-42A5-BBD3-B7ED263E84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6" name="AutoShape 235">
          <a:extLst>
            <a:ext uri="{FF2B5EF4-FFF2-40B4-BE49-F238E27FC236}">
              <a16:creationId xmlns:a16="http://schemas.microsoft.com/office/drawing/2014/main" id="{A87FB362-1CFA-43DD-8CD3-5831EF85779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7" name="AutoShape 234">
          <a:extLst>
            <a:ext uri="{FF2B5EF4-FFF2-40B4-BE49-F238E27FC236}">
              <a16:creationId xmlns:a16="http://schemas.microsoft.com/office/drawing/2014/main" id="{26D7553C-3F01-4FA2-B439-38B4A1206FC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8" name="AutoShape 233">
          <a:extLst>
            <a:ext uri="{FF2B5EF4-FFF2-40B4-BE49-F238E27FC236}">
              <a16:creationId xmlns:a16="http://schemas.microsoft.com/office/drawing/2014/main" id="{8225BD26-F53C-45D2-81D8-06B5B911EBB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799" name="AutoShape 232">
          <a:extLst>
            <a:ext uri="{FF2B5EF4-FFF2-40B4-BE49-F238E27FC236}">
              <a16:creationId xmlns:a16="http://schemas.microsoft.com/office/drawing/2014/main" id="{197863E8-F51B-480C-AF21-97CFEFCF3E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0" name="AutoShape 231">
          <a:extLst>
            <a:ext uri="{FF2B5EF4-FFF2-40B4-BE49-F238E27FC236}">
              <a16:creationId xmlns:a16="http://schemas.microsoft.com/office/drawing/2014/main" id="{E1AC056E-3F05-4959-B788-6C303B7FDC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1" name="AutoShape 230">
          <a:extLst>
            <a:ext uri="{FF2B5EF4-FFF2-40B4-BE49-F238E27FC236}">
              <a16:creationId xmlns:a16="http://schemas.microsoft.com/office/drawing/2014/main" id="{B84D972A-1D3C-48EC-A5B8-6419DFFE3B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2" name="AutoShape 344">
          <a:extLst>
            <a:ext uri="{FF2B5EF4-FFF2-40B4-BE49-F238E27FC236}">
              <a16:creationId xmlns:a16="http://schemas.microsoft.com/office/drawing/2014/main" id="{469528E2-E42A-4DA9-AAB4-93DDA7548B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3" name="AutoShape 343">
          <a:extLst>
            <a:ext uri="{FF2B5EF4-FFF2-40B4-BE49-F238E27FC236}">
              <a16:creationId xmlns:a16="http://schemas.microsoft.com/office/drawing/2014/main" id="{7A907E5D-5226-485B-B1B0-D2444283B8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4" name="AutoShape 342">
          <a:extLst>
            <a:ext uri="{FF2B5EF4-FFF2-40B4-BE49-F238E27FC236}">
              <a16:creationId xmlns:a16="http://schemas.microsoft.com/office/drawing/2014/main" id="{F50C3268-71FF-4F66-A51E-0FA8132E31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5" name="AutoShape 341">
          <a:extLst>
            <a:ext uri="{FF2B5EF4-FFF2-40B4-BE49-F238E27FC236}">
              <a16:creationId xmlns:a16="http://schemas.microsoft.com/office/drawing/2014/main" id="{4FDF9DA1-4535-4F2C-BCF0-D6D75BAF27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6" name="AutoShape 340">
          <a:extLst>
            <a:ext uri="{FF2B5EF4-FFF2-40B4-BE49-F238E27FC236}">
              <a16:creationId xmlns:a16="http://schemas.microsoft.com/office/drawing/2014/main" id="{D3320023-4768-4661-B929-DD649DB93B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7" name="AutoShape 339">
          <a:extLst>
            <a:ext uri="{FF2B5EF4-FFF2-40B4-BE49-F238E27FC236}">
              <a16:creationId xmlns:a16="http://schemas.microsoft.com/office/drawing/2014/main" id="{64F0506A-54ED-4B54-80CC-57F9560A43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8" name="AutoShape 338">
          <a:extLst>
            <a:ext uri="{FF2B5EF4-FFF2-40B4-BE49-F238E27FC236}">
              <a16:creationId xmlns:a16="http://schemas.microsoft.com/office/drawing/2014/main" id="{F4B699EB-0914-44AF-B828-AE297A23AA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09" name="AutoShape 337">
          <a:extLst>
            <a:ext uri="{FF2B5EF4-FFF2-40B4-BE49-F238E27FC236}">
              <a16:creationId xmlns:a16="http://schemas.microsoft.com/office/drawing/2014/main" id="{AD8DAE3F-DA30-45FB-A4D4-F1355073DD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0" name="AutoShape 336">
          <a:extLst>
            <a:ext uri="{FF2B5EF4-FFF2-40B4-BE49-F238E27FC236}">
              <a16:creationId xmlns:a16="http://schemas.microsoft.com/office/drawing/2014/main" id="{BCF37032-7B11-42E8-BC5E-7FD9E00830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1" name="AutoShape 335">
          <a:extLst>
            <a:ext uri="{FF2B5EF4-FFF2-40B4-BE49-F238E27FC236}">
              <a16:creationId xmlns:a16="http://schemas.microsoft.com/office/drawing/2014/main" id="{AF5A1FEF-BA58-4C48-AED4-CF5BE2924F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2" name="AutoShape 334">
          <a:extLst>
            <a:ext uri="{FF2B5EF4-FFF2-40B4-BE49-F238E27FC236}">
              <a16:creationId xmlns:a16="http://schemas.microsoft.com/office/drawing/2014/main" id="{DF2E8950-7027-473A-8AF4-B2C3673460C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3" name="AutoShape 333">
          <a:extLst>
            <a:ext uri="{FF2B5EF4-FFF2-40B4-BE49-F238E27FC236}">
              <a16:creationId xmlns:a16="http://schemas.microsoft.com/office/drawing/2014/main" id="{89604FC1-9B95-40EC-A1C5-D655EDDE31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4" name="AutoShape 332">
          <a:extLst>
            <a:ext uri="{FF2B5EF4-FFF2-40B4-BE49-F238E27FC236}">
              <a16:creationId xmlns:a16="http://schemas.microsoft.com/office/drawing/2014/main" id="{87C2C767-AB50-46AC-B4EC-93322E1D7F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5" name="AutoShape 331">
          <a:extLst>
            <a:ext uri="{FF2B5EF4-FFF2-40B4-BE49-F238E27FC236}">
              <a16:creationId xmlns:a16="http://schemas.microsoft.com/office/drawing/2014/main" id="{35C30B59-50DB-41C8-85D8-6DEC484869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6" name="AutoShape 330">
          <a:extLst>
            <a:ext uri="{FF2B5EF4-FFF2-40B4-BE49-F238E27FC236}">
              <a16:creationId xmlns:a16="http://schemas.microsoft.com/office/drawing/2014/main" id="{A521F9F3-D772-443E-8BF3-BBAF6EA718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7" name="AutoShape 329">
          <a:extLst>
            <a:ext uri="{FF2B5EF4-FFF2-40B4-BE49-F238E27FC236}">
              <a16:creationId xmlns:a16="http://schemas.microsoft.com/office/drawing/2014/main" id="{2E349954-90FA-4B57-A9E8-D752B0D4B0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8" name="AutoShape 328">
          <a:extLst>
            <a:ext uri="{FF2B5EF4-FFF2-40B4-BE49-F238E27FC236}">
              <a16:creationId xmlns:a16="http://schemas.microsoft.com/office/drawing/2014/main" id="{2F8D9D73-50CC-46F4-8905-7FF972F351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19" name="AutoShape 327">
          <a:extLst>
            <a:ext uri="{FF2B5EF4-FFF2-40B4-BE49-F238E27FC236}">
              <a16:creationId xmlns:a16="http://schemas.microsoft.com/office/drawing/2014/main" id="{6F6E6860-98ED-4708-BF83-DD82757EE8F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0" name="AutoShape 326">
          <a:extLst>
            <a:ext uri="{FF2B5EF4-FFF2-40B4-BE49-F238E27FC236}">
              <a16:creationId xmlns:a16="http://schemas.microsoft.com/office/drawing/2014/main" id="{ECD57C28-9287-4AD7-B5D4-074DA6FEDC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1" name="AutoShape 325">
          <a:extLst>
            <a:ext uri="{FF2B5EF4-FFF2-40B4-BE49-F238E27FC236}">
              <a16:creationId xmlns:a16="http://schemas.microsoft.com/office/drawing/2014/main" id="{87A18B0C-FCCA-4353-BAF7-6638CBC05E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2" name="AutoShape 324">
          <a:extLst>
            <a:ext uri="{FF2B5EF4-FFF2-40B4-BE49-F238E27FC236}">
              <a16:creationId xmlns:a16="http://schemas.microsoft.com/office/drawing/2014/main" id="{BABE145E-ED98-49D9-B617-D6DB31ECF9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3" name="AutoShape 323">
          <a:extLst>
            <a:ext uri="{FF2B5EF4-FFF2-40B4-BE49-F238E27FC236}">
              <a16:creationId xmlns:a16="http://schemas.microsoft.com/office/drawing/2014/main" id="{1EAF67A8-AA1C-4FFE-9128-33F4F06F84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4" name="AutoShape 322">
          <a:extLst>
            <a:ext uri="{FF2B5EF4-FFF2-40B4-BE49-F238E27FC236}">
              <a16:creationId xmlns:a16="http://schemas.microsoft.com/office/drawing/2014/main" id="{1D85A25E-7CCF-433F-B11E-1A94AC6022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5" name="AutoShape 321">
          <a:extLst>
            <a:ext uri="{FF2B5EF4-FFF2-40B4-BE49-F238E27FC236}">
              <a16:creationId xmlns:a16="http://schemas.microsoft.com/office/drawing/2014/main" id="{DF9A32F0-C1B2-4612-8830-AE8E98BCB2C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6" name="AutoShape 320">
          <a:extLst>
            <a:ext uri="{FF2B5EF4-FFF2-40B4-BE49-F238E27FC236}">
              <a16:creationId xmlns:a16="http://schemas.microsoft.com/office/drawing/2014/main" id="{30E40704-94CD-44D0-978B-E9D30C8E38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7" name="AutoShape 319">
          <a:extLst>
            <a:ext uri="{FF2B5EF4-FFF2-40B4-BE49-F238E27FC236}">
              <a16:creationId xmlns:a16="http://schemas.microsoft.com/office/drawing/2014/main" id="{2C60D29A-9D47-4587-990C-2057A7A18F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8" name="AutoShape 318">
          <a:extLst>
            <a:ext uri="{FF2B5EF4-FFF2-40B4-BE49-F238E27FC236}">
              <a16:creationId xmlns:a16="http://schemas.microsoft.com/office/drawing/2014/main" id="{132371A9-A21A-43EC-8571-C747AB32A4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29" name="AutoShape 317">
          <a:extLst>
            <a:ext uri="{FF2B5EF4-FFF2-40B4-BE49-F238E27FC236}">
              <a16:creationId xmlns:a16="http://schemas.microsoft.com/office/drawing/2014/main" id="{44CCC6B4-D767-44D7-B3A6-E2CFFF2007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0" name="AutoShape 316">
          <a:extLst>
            <a:ext uri="{FF2B5EF4-FFF2-40B4-BE49-F238E27FC236}">
              <a16:creationId xmlns:a16="http://schemas.microsoft.com/office/drawing/2014/main" id="{436593DB-8CFD-4993-8FF7-09BE7AA89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1" name="AutoShape 315">
          <a:extLst>
            <a:ext uri="{FF2B5EF4-FFF2-40B4-BE49-F238E27FC236}">
              <a16:creationId xmlns:a16="http://schemas.microsoft.com/office/drawing/2014/main" id="{85DE4009-403E-4BD2-894C-C7E0AC7B63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2" name="AutoShape 314">
          <a:extLst>
            <a:ext uri="{FF2B5EF4-FFF2-40B4-BE49-F238E27FC236}">
              <a16:creationId xmlns:a16="http://schemas.microsoft.com/office/drawing/2014/main" id="{D6B6D875-A6A9-4616-9D7B-E4B73934051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3" name="AutoShape 313">
          <a:extLst>
            <a:ext uri="{FF2B5EF4-FFF2-40B4-BE49-F238E27FC236}">
              <a16:creationId xmlns:a16="http://schemas.microsoft.com/office/drawing/2014/main" id="{C44831A5-DC60-4DCD-A767-628DA8E8CC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4" name="AutoShape 312">
          <a:extLst>
            <a:ext uri="{FF2B5EF4-FFF2-40B4-BE49-F238E27FC236}">
              <a16:creationId xmlns:a16="http://schemas.microsoft.com/office/drawing/2014/main" id="{550577A1-124E-4A12-8F78-2CDCBDBE6A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5" name="AutoShape 311">
          <a:extLst>
            <a:ext uri="{FF2B5EF4-FFF2-40B4-BE49-F238E27FC236}">
              <a16:creationId xmlns:a16="http://schemas.microsoft.com/office/drawing/2014/main" id="{8F5526E4-D745-4FC9-A0AD-4517D76B1E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6" name="AutoShape 310">
          <a:extLst>
            <a:ext uri="{FF2B5EF4-FFF2-40B4-BE49-F238E27FC236}">
              <a16:creationId xmlns:a16="http://schemas.microsoft.com/office/drawing/2014/main" id="{00AFB517-3C47-4C80-8399-79405B73A6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7" name="AutoShape 309">
          <a:extLst>
            <a:ext uri="{FF2B5EF4-FFF2-40B4-BE49-F238E27FC236}">
              <a16:creationId xmlns:a16="http://schemas.microsoft.com/office/drawing/2014/main" id="{F23F71C8-7A65-4586-A555-890D44E491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8" name="AutoShape 308">
          <a:extLst>
            <a:ext uri="{FF2B5EF4-FFF2-40B4-BE49-F238E27FC236}">
              <a16:creationId xmlns:a16="http://schemas.microsoft.com/office/drawing/2014/main" id="{E24E4F77-E20B-4952-9AF2-B2F86FB186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39" name="AutoShape 307">
          <a:extLst>
            <a:ext uri="{FF2B5EF4-FFF2-40B4-BE49-F238E27FC236}">
              <a16:creationId xmlns:a16="http://schemas.microsoft.com/office/drawing/2014/main" id="{DEBD3A73-F2D7-4056-A1DA-3EB29AD0F3A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0" name="AutoShape 306">
          <a:extLst>
            <a:ext uri="{FF2B5EF4-FFF2-40B4-BE49-F238E27FC236}">
              <a16:creationId xmlns:a16="http://schemas.microsoft.com/office/drawing/2014/main" id="{942DADCD-C1C9-4F5C-B7FE-7F389649E4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1" name="AutoShape 305">
          <a:extLst>
            <a:ext uri="{FF2B5EF4-FFF2-40B4-BE49-F238E27FC236}">
              <a16:creationId xmlns:a16="http://schemas.microsoft.com/office/drawing/2014/main" id="{5108D9AE-1CD2-4A9D-A24D-DF0AAF70D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2" name="AutoShape 304">
          <a:extLst>
            <a:ext uri="{FF2B5EF4-FFF2-40B4-BE49-F238E27FC236}">
              <a16:creationId xmlns:a16="http://schemas.microsoft.com/office/drawing/2014/main" id="{DBC8DDD2-7FF4-45AD-A44F-FBAEE635BE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3" name="AutoShape 303">
          <a:extLst>
            <a:ext uri="{FF2B5EF4-FFF2-40B4-BE49-F238E27FC236}">
              <a16:creationId xmlns:a16="http://schemas.microsoft.com/office/drawing/2014/main" id="{CCAA46F4-FDA1-45C4-AA98-9096ADA7E0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4" name="AutoShape 302">
          <a:extLst>
            <a:ext uri="{FF2B5EF4-FFF2-40B4-BE49-F238E27FC236}">
              <a16:creationId xmlns:a16="http://schemas.microsoft.com/office/drawing/2014/main" id="{5A90C5E7-8FC8-4DC5-B2C5-8A2E605622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5" name="AutoShape 301">
          <a:extLst>
            <a:ext uri="{FF2B5EF4-FFF2-40B4-BE49-F238E27FC236}">
              <a16:creationId xmlns:a16="http://schemas.microsoft.com/office/drawing/2014/main" id="{DB3DC739-9DA9-4465-923B-44C28C9FF3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6" name="AutoShape 300">
          <a:extLst>
            <a:ext uri="{FF2B5EF4-FFF2-40B4-BE49-F238E27FC236}">
              <a16:creationId xmlns:a16="http://schemas.microsoft.com/office/drawing/2014/main" id="{1935C88E-B85D-42B3-8DCF-AE0839BDBD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7" name="AutoShape 299">
          <a:extLst>
            <a:ext uri="{FF2B5EF4-FFF2-40B4-BE49-F238E27FC236}">
              <a16:creationId xmlns:a16="http://schemas.microsoft.com/office/drawing/2014/main" id="{392860E1-E49A-4835-ACA0-55974CB1290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8" name="AutoShape 298">
          <a:extLst>
            <a:ext uri="{FF2B5EF4-FFF2-40B4-BE49-F238E27FC236}">
              <a16:creationId xmlns:a16="http://schemas.microsoft.com/office/drawing/2014/main" id="{B4D80DEA-758A-47FB-B147-DDEE723AF6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49" name="AutoShape 297">
          <a:extLst>
            <a:ext uri="{FF2B5EF4-FFF2-40B4-BE49-F238E27FC236}">
              <a16:creationId xmlns:a16="http://schemas.microsoft.com/office/drawing/2014/main" id="{51487771-BF49-476B-8C3C-E7E6127B5D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0" name="AutoShape 296">
          <a:extLst>
            <a:ext uri="{FF2B5EF4-FFF2-40B4-BE49-F238E27FC236}">
              <a16:creationId xmlns:a16="http://schemas.microsoft.com/office/drawing/2014/main" id="{8FC9ADD9-0337-4C3F-B020-C10526543E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1" name="AutoShape 295">
          <a:extLst>
            <a:ext uri="{FF2B5EF4-FFF2-40B4-BE49-F238E27FC236}">
              <a16:creationId xmlns:a16="http://schemas.microsoft.com/office/drawing/2014/main" id="{2B374BE3-872D-4267-ABD7-0BA2FACC0F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2" name="AutoShape 294">
          <a:extLst>
            <a:ext uri="{FF2B5EF4-FFF2-40B4-BE49-F238E27FC236}">
              <a16:creationId xmlns:a16="http://schemas.microsoft.com/office/drawing/2014/main" id="{32642CA0-0B57-41E4-B711-7C72E38BF90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3" name="AutoShape 293">
          <a:extLst>
            <a:ext uri="{FF2B5EF4-FFF2-40B4-BE49-F238E27FC236}">
              <a16:creationId xmlns:a16="http://schemas.microsoft.com/office/drawing/2014/main" id="{B7BEA0A6-711A-4BE0-9BC3-04151E32698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4" name="AutoShape 292">
          <a:extLst>
            <a:ext uri="{FF2B5EF4-FFF2-40B4-BE49-F238E27FC236}">
              <a16:creationId xmlns:a16="http://schemas.microsoft.com/office/drawing/2014/main" id="{E5AA491D-07DE-480D-97B7-5ADF8330A2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5" name="AutoShape 291">
          <a:extLst>
            <a:ext uri="{FF2B5EF4-FFF2-40B4-BE49-F238E27FC236}">
              <a16:creationId xmlns:a16="http://schemas.microsoft.com/office/drawing/2014/main" id="{AC36C95F-4B03-4606-B9C0-ECA85E8DB6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6" name="AutoShape 290">
          <a:extLst>
            <a:ext uri="{FF2B5EF4-FFF2-40B4-BE49-F238E27FC236}">
              <a16:creationId xmlns:a16="http://schemas.microsoft.com/office/drawing/2014/main" id="{5AEC4553-1EDF-490B-95B0-F91A87ED5F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7" name="AutoShape 289">
          <a:extLst>
            <a:ext uri="{FF2B5EF4-FFF2-40B4-BE49-F238E27FC236}">
              <a16:creationId xmlns:a16="http://schemas.microsoft.com/office/drawing/2014/main" id="{2808EA94-BE3A-49D8-8FCC-6248543298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8" name="AutoShape 288">
          <a:extLst>
            <a:ext uri="{FF2B5EF4-FFF2-40B4-BE49-F238E27FC236}">
              <a16:creationId xmlns:a16="http://schemas.microsoft.com/office/drawing/2014/main" id="{71E9D07D-35D1-468C-8913-8E19E0B544B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59" name="AutoShape 287">
          <a:extLst>
            <a:ext uri="{FF2B5EF4-FFF2-40B4-BE49-F238E27FC236}">
              <a16:creationId xmlns:a16="http://schemas.microsoft.com/office/drawing/2014/main" id="{B2522584-655F-41E0-A7D5-F862255BB7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0" name="AutoShape 286">
          <a:extLst>
            <a:ext uri="{FF2B5EF4-FFF2-40B4-BE49-F238E27FC236}">
              <a16:creationId xmlns:a16="http://schemas.microsoft.com/office/drawing/2014/main" id="{30FA36D2-B9CB-4F39-A6D0-D90816A6E3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1" name="AutoShape 285">
          <a:extLst>
            <a:ext uri="{FF2B5EF4-FFF2-40B4-BE49-F238E27FC236}">
              <a16:creationId xmlns:a16="http://schemas.microsoft.com/office/drawing/2014/main" id="{57838E25-FA9A-499D-8444-9B278BADEC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2" name="AutoShape 284">
          <a:extLst>
            <a:ext uri="{FF2B5EF4-FFF2-40B4-BE49-F238E27FC236}">
              <a16:creationId xmlns:a16="http://schemas.microsoft.com/office/drawing/2014/main" id="{A2104ED4-0444-4641-945D-B58F03D636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3" name="AutoShape 283">
          <a:extLst>
            <a:ext uri="{FF2B5EF4-FFF2-40B4-BE49-F238E27FC236}">
              <a16:creationId xmlns:a16="http://schemas.microsoft.com/office/drawing/2014/main" id="{AAFD215C-7201-4CF8-896B-75EDF9108E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4" name="AutoShape 282">
          <a:extLst>
            <a:ext uri="{FF2B5EF4-FFF2-40B4-BE49-F238E27FC236}">
              <a16:creationId xmlns:a16="http://schemas.microsoft.com/office/drawing/2014/main" id="{9180A2B1-D692-433B-AB23-98E06370C2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5" name="AutoShape 281">
          <a:extLst>
            <a:ext uri="{FF2B5EF4-FFF2-40B4-BE49-F238E27FC236}">
              <a16:creationId xmlns:a16="http://schemas.microsoft.com/office/drawing/2014/main" id="{8734E098-257E-4E0E-8227-2FDFCF02B4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6" name="AutoShape 280">
          <a:extLst>
            <a:ext uri="{FF2B5EF4-FFF2-40B4-BE49-F238E27FC236}">
              <a16:creationId xmlns:a16="http://schemas.microsoft.com/office/drawing/2014/main" id="{3824BFC5-F357-40E8-979A-0469132227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7" name="AutoShape 279">
          <a:extLst>
            <a:ext uri="{FF2B5EF4-FFF2-40B4-BE49-F238E27FC236}">
              <a16:creationId xmlns:a16="http://schemas.microsoft.com/office/drawing/2014/main" id="{C8C9A0CE-E8A5-45CC-B7E0-D600792B734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8" name="AutoShape 278">
          <a:extLst>
            <a:ext uri="{FF2B5EF4-FFF2-40B4-BE49-F238E27FC236}">
              <a16:creationId xmlns:a16="http://schemas.microsoft.com/office/drawing/2014/main" id="{987292CF-AA2C-4053-9D71-67C6FD9D70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69" name="AutoShape 277">
          <a:extLst>
            <a:ext uri="{FF2B5EF4-FFF2-40B4-BE49-F238E27FC236}">
              <a16:creationId xmlns:a16="http://schemas.microsoft.com/office/drawing/2014/main" id="{51619F70-B91A-4654-8443-84D2E3F8180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0" name="AutoShape 276">
          <a:extLst>
            <a:ext uri="{FF2B5EF4-FFF2-40B4-BE49-F238E27FC236}">
              <a16:creationId xmlns:a16="http://schemas.microsoft.com/office/drawing/2014/main" id="{66F767AA-2232-48EE-873C-96EBA37327D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1" name="AutoShape 275">
          <a:extLst>
            <a:ext uri="{FF2B5EF4-FFF2-40B4-BE49-F238E27FC236}">
              <a16:creationId xmlns:a16="http://schemas.microsoft.com/office/drawing/2014/main" id="{ED0B8F85-0D1E-488A-A2B3-A6B167F283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2" name="AutoShape 274">
          <a:extLst>
            <a:ext uri="{FF2B5EF4-FFF2-40B4-BE49-F238E27FC236}">
              <a16:creationId xmlns:a16="http://schemas.microsoft.com/office/drawing/2014/main" id="{2645B047-C5D9-44A0-AD4C-CCA688AD15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3" name="AutoShape 273">
          <a:extLst>
            <a:ext uri="{FF2B5EF4-FFF2-40B4-BE49-F238E27FC236}">
              <a16:creationId xmlns:a16="http://schemas.microsoft.com/office/drawing/2014/main" id="{1B37240E-87AB-4EE4-A26D-78C638C6AE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4" name="AutoShape 272">
          <a:extLst>
            <a:ext uri="{FF2B5EF4-FFF2-40B4-BE49-F238E27FC236}">
              <a16:creationId xmlns:a16="http://schemas.microsoft.com/office/drawing/2014/main" id="{3C850E7D-8517-4873-903F-5B7B14BE66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5" name="AutoShape 271">
          <a:extLst>
            <a:ext uri="{FF2B5EF4-FFF2-40B4-BE49-F238E27FC236}">
              <a16:creationId xmlns:a16="http://schemas.microsoft.com/office/drawing/2014/main" id="{CB326FB8-A19A-42FE-B09F-D743815BD9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6" name="AutoShape 270">
          <a:extLst>
            <a:ext uri="{FF2B5EF4-FFF2-40B4-BE49-F238E27FC236}">
              <a16:creationId xmlns:a16="http://schemas.microsoft.com/office/drawing/2014/main" id="{90405A2C-39AF-49A3-A9BC-B4C1D0DD2E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7" name="AutoShape 269">
          <a:extLst>
            <a:ext uri="{FF2B5EF4-FFF2-40B4-BE49-F238E27FC236}">
              <a16:creationId xmlns:a16="http://schemas.microsoft.com/office/drawing/2014/main" id="{4EEA64E7-EB53-4D9D-A60E-74EBAB7476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8" name="AutoShape 268">
          <a:extLst>
            <a:ext uri="{FF2B5EF4-FFF2-40B4-BE49-F238E27FC236}">
              <a16:creationId xmlns:a16="http://schemas.microsoft.com/office/drawing/2014/main" id="{7148F51D-6C07-4CA8-884F-825C2ECBB3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79" name="AutoShape 267">
          <a:extLst>
            <a:ext uri="{FF2B5EF4-FFF2-40B4-BE49-F238E27FC236}">
              <a16:creationId xmlns:a16="http://schemas.microsoft.com/office/drawing/2014/main" id="{A5FC677D-A73B-4FC6-86BE-F24E77E557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0" name="AutoShape 266">
          <a:extLst>
            <a:ext uri="{FF2B5EF4-FFF2-40B4-BE49-F238E27FC236}">
              <a16:creationId xmlns:a16="http://schemas.microsoft.com/office/drawing/2014/main" id="{05D1F693-2229-4F31-86CE-BD482D630D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1" name="AutoShape 265">
          <a:extLst>
            <a:ext uri="{FF2B5EF4-FFF2-40B4-BE49-F238E27FC236}">
              <a16:creationId xmlns:a16="http://schemas.microsoft.com/office/drawing/2014/main" id="{BBF7001F-7492-4A94-9EE0-515F0AA12A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2" name="AutoShape 264">
          <a:extLst>
            <a:ext uri="{FF2B5EF4-FFF2-40B4-BE49-F238E27FC236}">
              <a16:creationId xmlns:a16="http://schemas.microsoft.com/office/drawing/2014/main" id="{073377E2-19D3-415B-975A-C0AA6C40CD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3" name="AutoShape 263">
          <a:extLst>
            <a:ext uri="{FF2B5EF4-FFF2-40B4-BE49-F238E27FC236}">
              <a16:creationId xmlns:a16="http://schemas.microsoft.com/office/drawing/2014/main" id="{B744F69E-A94C-4148-8368-BD4AA3E689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4" name="AutoShape 262">
          <a:extLst>
            <a:ext uri="{FF2B5EF4-FFF2-40B4-BE49-F238E27FC236}">
              <a16:creationId xmlns:a16="http://schemas.microsoft.com/office/drawing/2014/main" id="{FD877EE1-BED1-4ACF-87F5-B6896D1249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5" name="AutoShape 261">
          <a:extLst>
            <a:ext uri="{FF2B5EF4-FFF2-40B4-BE49-F238E27FC236}">
              <a16:creationId xmlns:a16="http://schemas.microsoft.com/office/drawing/2014/main" id="{9ADD56F7-1A7A-4292-A8A2-79C1B8E255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6" name="AutoShape 260">
          <a:extLst>
            <a:ext uri="{FF2B5EF4-FFF2-40B4-BE49-F238E27FC236}">
              <a16:creationId xmlns:a16="http://schemas.microsoft.com/office/drawing/2014/main" id="{6504C873-9380-472B-B6DE-8B9F2CAC42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7" name="AutoShape 259">
          <a:extLst>
            <a:ext uri="{FF2B5EF4-FFF2-40B4-BE49-F238E27FC236}">
              <a16:creationId xmlns:a16="http://schemas.microsoft.com/office/drawing/2014/main" id="{919BD0FF-243F-4AF5-BAB7-54FD8853FA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8" name="AutoShape 258">
          <a:extLst>
            <a:ext uri="{FF2B5EF4-FFF2-40B4-BE49-F238E27FC236}">
              <a16:creationId xmlns:a16="http://schemas.microsoft.com/office/drawing/2014/main" id="{71796E05-1812-471A-A8F7-D4AFC70084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89" name="AutoShape 257">
          <a:extLst>
            <a:ext uri="{FF2B5EF4-FFF2-40B4-BE49-F238E27FC236}">
              <a16:creationId xmlns:a16="http://schemas.microsoft.com/office/drawing/2014/main" id="{B6DF4D1A-2D23-40C2-B224-736DBFA921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0" name="AutoShape 256">
          <a:extLst>
            <a:ext uri="{FF2B5EF4-FFF2-40B4-BE49-F238E27FC236}">
              <a16:creationId xmlns:a16="http://schemas.microsoft.com/office/drawing/2014/main" id="{DADA3944-F404-4565-AFC0-B4248AED99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1" name="AutoShape 255">
          <a:extLst>
            <a:ext uri="{FF2B5EF4-FFF2-40B4-BE49-F238E27FC236}">
              <a16:creationId xmlns:a16="http://schemas.microsoft.com/office/drawing/2014/main" id="{11DD1783-27E1-454A-84BD-F3AC22BACF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2" name="AutoShape 254">
          <a:extLst>
            <a:ext uri="{FF2B5EF4-FFF2-40B4-BE49-F238E27FC236}">
              <a16:creationId xmlns:a16="http://schemas.microsoft.com/office/drawing/2014/main" id="{19484973-EA80-44D2-9B10-CC7DE64CE2E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3" name="AutoShape 253">
          <a:extLst>
            <a:ext uri="{FF2B5EF4-FFF2-40B4-BE49-F238E27FC236}">
              <a16:creationId xmlns:a16="http://schemas.microsoft.com/office/drawing/2014/main" id="{04AE3C52-DF76-4FDE-91AD-120E7383C3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4" name="AutoShape 252">
          <a:extLst>
            <a:ext uri="{FF2B5EF4-FFF2-40B4-BE49-F238E27FC236}">
              <a16:creationId xmlns:a16="http://schemas.microsoft.com/office/drawing/2014/main" id="{50427FB7-3E58-4CF3-B203-10CDE168CF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5" name="AutoShape 251">
          <a:extLst>
            <a:ext uri="{FF2B5EF4-FFF2-40B4-BE49-F238E27FC236}">
              <a16:creationId xmlns:a16="http://schemas.microsoft.com/office/drawing/2014/main" id="{1C23AFCC-8F91-4E74-955A-D144FAD59C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6" name="AutoShape 250">
          <a:extLst>
            <a:ext uri="{FF2B5EF4-FFF2-40B4-BE49-F238E27FC236}">
              <a16:creationId xmlns:a16="http://schemas.microsoft.com/office/drawing/2014/main" id="{3F570136-826B-414A-A0E7-1846A020D3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7" name="AutoShape 249">
          <a:extLst>
            <a:ext uri="{FF2B5EF4-FFF2-40B4-BE49-F238E27FC236}">
              <a16:creationId xmlns:a16="http://schemas.microsoft.com/office/drawing/2014/main" id="{9F848A0E-D3A2-4A67-AEC9-469F888961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8" name="AutoShape 248">
          <a:extLst>
            <a:ext uri="{FF2B5EF4-FFF2-40B4-BE49-F238E27FC236}">
              <a16:creationId xmlns:a16="http://schemas.microsoft.com/office/drawing/2014/main" id="{2E09C6DB-C140-4D0D-B21C-8C98504B9E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899" name="AutoShape 247">
          <a:extLst>
            <a:ext uri="{FF2B5EF4-FFF2-40B4-BE49-F238E27FC236}">
              <a16:creationId xmlns:a16="http://schemas.microsoft.com/office/drawing/2014/main" id="{9BC51A8E-591C-47EB-8087-EF60E7820C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0" name="AutoShape 246">
          <a:extLst>
            <a:ext uri="{FF2B5EF4-FFF2-40B4-BE49-F238E27FC236}">
              <a16:creationId xmlns:a16="http://schemas.microsoft.com/office/drawing/2014/main" id="{30D46312-FB64-44A3-9C59-CA94D240CBC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1" name="AutoShape 245">
          <a:extLst>
            <a:ext uri="{FF2B5EF4-FFF2-40B4-BE49-F238E27FC236}">
              <a16:creationId xmlns:a16="http://schemas.microsoft.com/office/drawing/2014/main" id="{D776C79E-95CE-4AE6-BFB4-4584B10CA8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2" name="AutoShape 244">
          <a:extLst>
            <a:ext uri="{FF2B5EF4-FFF2-40B4-BE49-F238E27FC236}">
              <a16:creationId xmlns:a16="http://schemas.microsoft.com/office/drawing/2014/main" id="{8786228F-DCA9-4A3E-A0EE-308DB82BD9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3" name="AutoShape 243">
          <a:extLst>
            <a:ext uri="{FF2B5EF4-FFF2-40B4-BE49-F238E27FC236}">
              <a16:creationId xmlns:a16="http://schemas.microsoft.com/office/drawing/2014/main" id="{8E9D810F-215B-45EB-9061-8633E4A7A5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4" name="AutoShape 242">
          <a:extLst>
            <a:ext uri="{FF2B5EF4-FFF2-40B4-BE49-F238E27FC236}">
              <a16:creationId xmlns:a16="http://schemas.microsoft.com/office/drawing/2014/main" id="{3887939F-91FB-467B-B01B-31945D8748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5" name="AutoShape 241">
          <a:extLst>
            <a:ext uri="{FF2B5EF4-FFF2-40B4-BE49-F238E27FC236}">
              <a16:creationId xmlns:a16="http://schemas.microsoft.com/office/drawing/2014/main" id="{03DBF98E-473C-49FB-B756-F28ACBE2D72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6" name="AutoShape 240">
          <a:extLst>
            <a:ext uri="{FF2B5EF4-FFF2-40B4-BE49-F238E27FC236}">
              <a16:creationId xmlns:a16="http://schemas.microsoft.com/office/drawing/2014/main" id="{05B758C5-C608-4206-9F1B-BFEC62E72C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7" name="AutoShape 239">
          <a:extLst>
            <a:ext uri="{FF2B5EF4-FFF2-40B4-BE49-F238E27FC236}">
              <a16:creationId xmlns:a16="http://schemas.microsoft.com/office/drawing/2014/main" id="{62ABF0CD-2A06-44B6-A962-CF0B3EDC95F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8" name="AutoShape 238">
          <a:extLst>
            <a:ext uri="{FF2B5EF4-FFF2-40B4-BE49-F238E27FC236}">
              <a16:creationId xmlns:a16="http://schemas.microsoft.com/office/drawing/2014/main" id="{0094D0AD-BAD4-47CA-A712-6977A4AC13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09" name="AutoShape 237">
          <a:extLst>
            <a:ext uri="{FF2B5EF4-FFF2-40B4-BE49-F238E27FC236}">
              <a16:creationId xmlns:a16="http://schemas.microsoft.com/office/drawing/2014/main" id="{EF30ED2B-D3DA-419A-AEBA-EBFBC2D095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0" name="AutoShape 236">
          <a:extLst>
            <a:ext uri="{FF2B5EF4-FFF2-40B4-BE49-F238E27FC236}">
              <a16:creationId xmlns:a16="http://schemas.microsoft.com/office/drawing/2014/main" id="{C5E0A0A2-84C3-4DFD-AAC5-42FB6D06AC8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1" name="AutoShape 235">
          <a:extLst>
            <a:ext uri="{FF2B5EF4-FFF2-40B4-BE49-F238E27FC236}">
              <a16:creationId xmlns:a16="http://schemas.microsoft.com/office/drawing/2014/main" id="{9CF04CA4-87A3-4DD9-B6A3-513540E6AA5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2" name="AutoShape 234">
          <a:extLst>
            <a:ext uri="{FF2B5EF4-FFF2-40B4-BE49-F238E27FC236}">
              <a16:creationId xmlns:a16="http://schemas.microsoft.com/office/drawing/2014/main" id="{A063D966-9571-4693-9CCD-5F8B4872E67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3" name="AutoShape 233">
          <a:extLst>
            <a:ext uri="{FF2B5EF4-FFF2-40B4-BE49-F238E27FC236}">
              <a16:creationId xmlns:a16="http://schemas.microsoft.com/office/drawing/2014/main" id="{D66A242F-8E1F-4F50-A8C4-76B8BAB8F6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4" name="AutoShape 232">
          <a:extLst>
            <a:ext uri="{FF2B5EF4-FFF2-40B4-BE49-F238E27FC236}">
              <a16:creationId xmlns:a16="http://schemas.microsoft.com/office/drawing/2014/main" id="{45599D41-E9DA-4A28-A508-30739EAB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5" name="AutoShape 231">
          <a:extLst>
            <a:ext uri="{FF2B5EF4-FFF2-40B4-BE49-F238E27FC236}">
              <a16:creationId xmlns:a16="http://schemas.microsoft.com/office/drawing/2014/main" id="{75DF72AB-5C6C-4A07-8175-31D491A4D82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6" name="AutoShape 230">
          <a:extLst>
            <a:ext uri="{FF2B5EF4-FFF2-40B4-BE49-F238E27FC236}">
              <a16:creationId xmlns:a16="http://schemas.microsoft.com/office/drawing/2014/main" id="{8D3F3FC4-7004-4A05-AB99-1C8DD9ABCA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7" name="AutoShape 344">
          <a:extLst>
            <a:ext uri="{FF2B5EF4-FFF2-40B4-BE49-F238E27FC236}">
              <a16:creationId xmlns:a16="http://schemas.microsoft.com/office/drawing/2014/main" id="{17D8097A-D24E-429B-BAEB-6F3B9699B5B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8" name="AutoShape 343">
          <a:extLst>
            <a:ext uri="{FF2B5EF4-FFF2-40B4-BE49-F238E27FC236}">
              <a16:creationId xmlns:a16="http://schemas.microsoft.com/office/drawing/2014/main" id="{8E0ADEBA-E306-4FAF-9A5A-37AD70DE5D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19" name="AutoShape 342">
          <a:extLst>
            <a:ext uri="{FF2B5EF4-FFF2-40B4-BE49-F238E27FC236}">
              <a16:creationId xmlns:a16="http://schemas.microsoft.com/office/drawing/2014/main" id="{AE1DB29B-F91E-47B5-B602-5407F325F7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0" name="AutoShape 341">
          <a:extLst>
            <a:ext uri="{FF2B5EF4-FFF2-40B4-BE49-F238E27FC236}">
              <a16:creationId xmlns:a16="http://schemas.microsoft.com/office/drawing/2014/main" id="{A0C9F697-A68B-4413-8B07-D588C5ACEC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1" name="AutoShape 340">
          <a:extLst>
            <a:ext uri="{FF2B5EF4-FFF2-40B4-BE49-F238E27FC236}">
              <a16:creationId xmlns:a16="http://schemas.microsoft.com/office/drawing/2014/main" id="{EA2E78BF-DFF5-401B-9942-ADC9F8395C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2" name="AutoShape 339">
          <a:extLst>
            <a:ext uri="{FF2B5EF4-FFF2-40B4-BE49-F238E27FC236}">
              <a16:creationId xmlns:a16="http://schemas.microsoft.com/office/drawing/2014/main" id="{F35DB248-5AA4-477C-A2A8-4CF563DD29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3" name="AutoShape 338">
          <a:extLst>
            <a:ext uri="{FF2B5EF4-FFF2-40B4-BE49-F238E27FC236}">
              <a16:creationId xmlns:a16="http://schemas.microsoft.com/office/drawing/2014/main" id="{9FD1A7C8-7061-4CC0-9DF3-B565385631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4" name="AutoShape 337">
          <a:extLst>
            <a:ext uri="{FF2B5EF4-FFF2-40B4-BE49-F238E27FC236}">
              <a16:creationId xmlns:a16="http://schemas.microsoft.com/office/drawing/2014/main" id="{B57DC9E9-7055-4794-82C6-15C3DA4BBC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5" name="AutoShape 336">
          <a:extLst>
            <a:ext uri="{FF2B5EF4-FFF2-40B4-BE49-F238E27FC236}">
              <a16:creationId xmlns:a16="http://schemas.microsoft.com/office/drawing/2014/main" id="{91FAA75B-A1FE-488F-9D94-6EF4515BAD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6" name="AutoShape 335">
          <a:extLst>
            <a:ext uri="{FF2B5EF4-FFF2-40B4-BE49-F238E27FC236}">
              <a16:creationId xmlns:a16="http://schemas.microsoft.com/office/drawing/2014/main" id="{655F0BE9-DEB7-4043-A92E-0C65284509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7" name="AutoShape 334">
          <a:extLst>
            <a:ext uri="{FF2B5EF4-FFF2-40B4-BE49-F238E27FC236}">
              <a16:creationId xmlns:a16="http://schemas.microsoft.com/office/drawing/2014/main" id="{180201D4-3319-42CF-B5EF-E38EF68EF4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8" name="AutoShape 333">
          <a:extLst>
            <a:ext uri="{FF2B5EF4-FFF2-40B4-BE49-F238E27FC236}">
              <a16:creationId xmlns:a16="http://schemas.microsoft.com/office/drawing/2014/main" id="{11EBBE97-1E35-44F6-A86D-65AED463C4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29" name="AutoShape 332">
          <a:extLst>
            <a:ext uri="{FF2B5EF4-FFF2-40B4-BE49-F238E27FC236}">
              <a16:creationId xmlns:a16="http://schemas.microsoft.com/office/drawing/2014/main" id="{DCA6FB40-4ACD-4F50-ACB0-519A7740C2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0" name="AutoShape 331">
          <a:extLst>
            <a:ext uri="{FF2B5EF4-FFF2-40B4-BE49-F238E27FC236}">
              <a16:creationId xmlns:a16="http://schemas.microsoft.com/office/drawing/2014/main" id="{81BCB3F6-8067-4C1E-8904-C6BF1FB105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1" name="AutoShape 330">
          <a:extLst>
            <a:ext uri="{FF2B5EF4-FFF2-40B4-BE49-F238E27FC236}">
              <a16:creationId xmlns:a16="http://schemas.microsoft.com/office/drawing/2014/main" id="{60C335F1-2F57-47C3-957F-0F937C0908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2" name="AutoShape 329">
          <a:extLst>
            <a:ext uri="{FF2B5EF4-FFF2-40B4-BE49-F238E27FC236}">
              <a16:creationId xmlns:a16="http://schemas.microsoft.com/office/drawing/2014/main" id="{ECCC1494-081F-4AB0-B5FF-D616B225F7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3" name="AutoShape 328">
          <a:extLst>
            <a:ext uri="{FF2B5EF4-FFF2-40B4-BE49-F238E27FC236}">
              <a16:creationId xmlns:a16="http://schemas.microsoft.com/office/drawing/2014/main" id="{1E06BEFA-F3B0-4AEA-9439-C2C8BFFE28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4" name="AutoShape 327">
          <a:extLst>
            <a:ext uri="{FF2B5EF4-FFF2-40B4-BE49-F238E27FC236}">
              <a16:creationId xmlns:a16="http://schemas.microsoft.com/office/drawing/2014/main" id="{F0116EB3-FCA1-4D19-A76B-8397C59DF5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5" name="AutoShape 326">
          <a:extLst>
            <a:ext uri="{FF2B5EF4-FFF2-40B4-BE49-F238E27FC236}">
              <a16:creationId xmlns:a16="http://schemas.microsoft.com/office/drawing/2014/main" id="{D914E2B4-053D-4333-8F24-43B9815924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6" name="AutoShape 325">
          <a:extLst>
            <a:ext uri="{FF2B5EF4-FFF2-40B4-BE49-F238E27FC236}">
              <a16:creationId xmlns:a16="http://schemas.microsoft.com/office/drawing/2014/main" id="{8919F4A3-B137-4B14-9485-56086A209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7" name="AutoShape 324">
          <a:extLst>
            <a:ext uri="{FF2B5EF4-FFF2-40B4-BE49-F238E27FC236}">
              <a16:creationId xmlns:a16="http://schemas.microsoft.com/office/drawing/2014/main" id="{EBB02140-80F9-4740-AE52-B2CC9199411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8" name="AutoShape 323">
          <a:extLst>
            <a:ext uri="{FF2B5EF4-FFF2-40B4-BE49-F238E27FC236}">
              <a16:creationId xmlns:a16="http://schemas.microsoft.com/office/drawing/2014/main" id="{AFE4EB83-0613-4472-AB26-4472DE1A4A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39" name="AutoShape 322">
          <a:extLst>
            <a:ext uri="{FF2B5EF4-FFF2-40B4-BE49-F238E27FC236}">
              <a16:creationId xmlns:a16="http://schemas.microsoft.com/office/drawing/2014/main" id="{253E3E65-E23D-4A22-882E-DF6FCB1D0C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0" name="AutoShape 321">
          <a:extLst>
            <a:ext uri="{FF2B5EF4-FFF2-40B4-BE49-F238E27FC236}">
              <a16:creationId xmlns:a16="http://schemas.microsoft.com/office/drawing/2014/main" id="{B2C1277D-9B96-4736-9A8E-73338F0E82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1" name="AutoShape 320">
          <a:extLst>
            <a:ext uri="{FF2B5EF4-FFF2-40B4-BE49-F238E27FC236}">
              <a16:creationId xmlns:a16="http://schemas.microsoft.com/office/drawing/2014/main" id="{BB4FE175-FACD-4093-B166-1EE448DAF0B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2" name="AutoShape 319">
          <a:extLst>
            <a:ext uri="{FF2B5EF4-FFF2-40B4-BE49-F238E27FC236}">
              <a16:creationId xmlns:a16="http://schemas.microsoft.com/office/drawing/2014/main" id="{A7EB7BC2-991A-464F-93B3-EF68618606B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3" name="AutoShape 318">
          <a:extLst>
            <a:ext uri="{FF2B5EF4-FFF2-40B4-BE49-F238E27FC236}">
              <a16:creationId xmlns:a16="http://schemas.microsoft.com/office/drawing/2014/main" id="{95CDEBCE-6720-46E6-8070-A23FD3342FC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4" name="AutoShape 317">
          <a:extLst>
            <a:ext uri="{FF2B5EF4-FFF2-40B4-BE49-F238E27FC236}">
              <a16:creationId xmlns:a16="http://schemas.microsoft.com/office/drawing/2014/main" id="{4C428088-6BE0-405F-96D9-1D166D2804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5" name="AutoShape 316">
          <a:extLst>
            <a:ext uri="{FF2B5EF4-FFF2-40B4-BE49-F238E27FC236}">
              <a16:creationId xmlns:a16="http://schemas.microsoft.com/office/drawing/2014/main" id="{D4748E95-E7F9-4EB8-ADF5-27364C3F94A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6" name="AutoShape 315">
          <a:extLst>
            <a:ext uri="{FF2B5EF4-FFF2-40B4-BE49-F238E27FC236}">
              <a16:creationId xmlns:a16="http://schemas.microsoft.com/office/drawing/2014/main" id="{FE783AB9-072A-459B-B8B5-0FBFD4C048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7" name="AutoShape 314">
          <a:extLst>
            <a:ext uri="{FF2B5EF4-FFF2-40B4-BE49-F238E27FC236}">
              <a16:creationId xmlns:a16="http://schemas.microsoft.com/office/drawing/2014/main" id="{6CF34DB7-83B9-4413-BEF5-40B5920C34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8" name="AutoShape 313">
          <a:extLst>
            <a:ext uri="{FF2B5EF4-FFF2-40B4-BE49-F238E27FC236}">
              <a16:creationId xmlns:a16="http://schemas.microsoft.com/office/drawing/2014/main" id="{B1B3958C-1FEA-4C6E-8D87-FD845D7FD7C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49" name="AutoShape 312">
          <a:extLst>
            <a:ext uri="{FF2B5EF4-FFF2-40B4-BE49-F238E27FC236}">
              <a16:creationId xmlns:a16="http://schemas.microsoft.com/office/drawing/2014/main" id="{A5EE4014-5B53-49DA-B73E-BB018099BFC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0" name="AutoShape 311">
          <a:extLst>
            <a:ext uri="{FF2B5EF4-FFF2-40B4-BE49-F238E27FC236}">
              <a16:creationId xmlns:a16="http://schemas.microsoft.com/office/drawing/2014/main" id="{423B7FC8-53DA-4892-A683-7533DD35C8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1" name="AutoShape 310">
          <a:extLst>
            <a:ext uri="{FF2B5EF4-FFF2-40B4-BE49-F238E27FC236}">
              <a16:creationId xmlns:a16="http://schemas.microsoft.com/office/drawing/2014/main" id="{A73E5808-649B-4CA2-BD2C-37B0045D63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2" name="AutoShape 309">
          <a:extLst>
            <a:ext uri="{FF2B5EF4-FFF2-40B4-BE49-F238E27FC236}">
              <a16:creationId xmlns:a16="http://schemas.microsoft.com/office/drawing/2014/main" id="{A42A9DAA-3971-42EF-92F3-5BFDBA65BB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3" name="AutoShape 308">
          <a:extLst>
            <a:ext uri="{FF2B5EF4-FFF2-40B4-BE49-F238E27FC236}">
              <a16:creationId xmlns:a16="http://schemas.microsoft.com/office/drawing/2014/main" id="{F838320B-A1EF-40C2-BBAD-795FDD6B4C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4" name="AutoShape 307">
          <a:extLst>
            <a:ext uri="{FF2B5EF4-FFF2-40B4-BE49-F238E27FC236}">
              <a16:creationId xmlns:a16="http://schemas.microsoft.com/office/drawing/2014/main" id="{4F8CFEFA-4E65-40A8-ABF0-E4CA45F9E0A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5" name="AutoShape 306">
          <a:extLst>
            <a:ext uri="{FF2B5EF4-FFF2-40B4-BE49-F238E27FC236}">
              <a16:creationId xmlns:a16="http://schemas.microsoft.com/office/drawing/2014/main" id="{F2A418B2-3B00-4E1F-BA04-6EBD89B03A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6" name="AutoShape 305">
          <a:extLst>
            <a:ext uri="{FF2B5EF4-FFF2-40B4-BE49-F238E27FC236}">
              <a16:creationId xmlns:a16="http://schemas.microsoft.com/office/drawing/2014/main" id="{4619CC6F-3BF8-474B-A3F6-A5EB97757E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7" name="AutoShape 304">
          <a:extLst>
            <a:ext uri="{FF2B5EF4-FFF2-40B4-BE49-F238E27FC236}">
              <a16:creationId xmlns:a16="http://schemas.microsoft.com/office/drawing/2014/main" id="{3B3B74A7-800B-4A29-BE79-1C6F8FFF33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8" name="AutoShape 303">
          <a:extLst>
            <a:ext uri="{FF2B5EF4-FFF2-40B4-BE49-F238E27FC236}">
              <a16:creationId xmlns:a16="http://schemas.microsoft.com/office/drawing/2014/main" id="{D79A35DD-7406-4985-9AD8-7F2F0C6609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59" name="AutoShape 302">
          <a:extLst>
            <a:ext uri="{FF2B5EF4-FFF2-40B4-BE49-F238E27FC236}">
              <a16:creationId xmlns:a16="http://schemas.microsoft.com/office/drawing/2014/main" id="{453A86B5-42FE-45DF-82F6-0174B19E33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0" name="AutoShape 301">
          <a:extLst>
            <a:ext uri="{FF2B5EF4-FFF2-40B4-BE49-F238E27FC236}">
              <a16:creationId xmlns:a16="http://schemas.microsoft.com/office/drawing/2014/main" id="{7AB1AEAA-9742-47A9-BD70-6D2F753297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1" name="AutoShape 300">
          <a:extLst>
            <a:ext uri="{FF2B5EF4-FFF2-40B4-BE49-F238E27FC236}">
              <a16:creationId xmlns:a16="http://schemas.microsoft.com/office/drawing/2014/main" id="{9A143BF1-3EF5-4015-AF73-3492DC7F57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2" name="AutoShape 299">
          <a:extLst>
            <a:ext uri="{FF2B5EF4-FFF2-40B4-BE49-F238E27FC236}">
              <a16:creationId xmlns:a16="http://schemas.microsoft.com/office/drawing/2014/main" id="{0672C2D5-D5C2-4B07-B335-E69166E1F5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3" name="AutoShape 298">
          <a:extLst>
            <a:ext uri="{FF2B5EF4-FFF2-40B4-BE49-F238E27FC236}">
              <a16:creationId xmlns:a16="http://schemas.microsoft.com/office/drawing/2014/main" id="{09AF9549-0E60-4F92-A30D-CA3A55EA20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4" name="AutoShape 297">
          <a:extLst>
            <a:ext uri="{FF2B5EF4-FFF2-40B4-BE49-F238E27FC236}">
              <a16:creationId xmlns:a16="http://schemas.microsoft.com/office/drawing/2014/main" id="{25FC3919-2F6A-4677-B098-DAE8B3934B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5" name="AutoShape 296">
          <a:extLst>
            <a:ext uri="{FF2B5EF4-FFF2-40B4-BE49-F238E27FC236}">
              <a16:creationId xmlns:a16="http://schemas.microsoft.com/office/drawing/2014/main" id="{D20DB6E5-F601-4D3C-8DE9-B8CCE39D0D8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6" name="AutoShape 295">
          <a:extLst>
            <a:ext uri="{FF2B5EF4-FFF2-40B4-BE49-F238E27FC236}">
              <a16:creationId xmlns:a16="http://schemas.microsoft.com/office/drawing/2014/main" id="{5CC3F8F3-7D7A-41FA-A788-5EBCA5765AE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7" name="AutoShape 294">
          <a:extLst>
            <a:ext uri="{FF2B5EF4-FFF2-40B4-BE49-F238E27FC236}">
              <a16:creationId xmlns:a16="http://schemas.microsoft.com/office/drawing/2014/main" id="{F4534B41-C356-4AD1-ADF3-C9FED4F398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8" name="AutoShape 293">
          <a:extLst>
            <a:ext uri="{FF2B5EF4-FFF2-40B4-BE49-F238E27FC236}">
              <a16:creationId xmlns:a16="http://schemas.microsoft.com/office/drawing/2014/main" id="{026AEE8F-986E-4420-9250-B443DBE6D23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69" name="AutoShape 292">
          <a:extLst>
            <a:ext uri="{FF2B5EF4-FFF2-40B4-BE49-F238E27FC236}">
              <a16:creationId xmlns:a16="http://schemas.microsoft.com/office/drawing/2014/main" id="{158CCAA8-BF02-48FF-BE39-95D37AF600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0" name="AutoShape 291">
          <a:extLst>
            <a:ext uri="{FF2B5EF4-FFF2-40B4-BE49-F238E27FC236}">
              <a16:creationId xmlns:a16="http://schemas.microsoft.com/office/drawing/2014/main" id="{C1A79DBA-6E25-466C-A8EC-1658007AA9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1" name="AutoShape 290">
          <a:extLst>
            <a:ext uri="{FF2B5EF4-FFF2-40B4-BE49-F238E27FC236}">
              <a16:creationId xmlns:a16="http://schemas.microsoft.com/office/drawing/2014/main" id="{BA9A767F-B01B-4627-97A9-CA711264EF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2" name="AutoShape 289">
          <a:extLst>
            <a:ext uri="{FF2B5EF4-FFF2-40B4-BE49-F238E27FC236}">
              <a16:creationId xmlns:a16="http://schemas.microsoft.com/office/drawing/2014/main" id="{662AB441-B291-4FB3-BBA8-F912BE6391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3" name="AutoShape 288">
          <a:extLst>
            <a:ext uri="{FF2B5EF4-FFF2-40B4-BE49-F238E27FC236}">
              <a16:creationId xmlns:a16="http://schemas.microsoft.com/office/drawing/2014/main" id="{F31F7590-9CBB-4B04-A71A-C3271C49D7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4" name="AutoShape 287">
          <a:extLst>
            <a:ext uri="{FF2B5EF4-FFF2-40B4-BE49-F238E27FC236}">
              <a16:creationId xmlns:a16="http://schemas.microsoft.com/office/drawing/2014/main" id="{8CB7D61C-8BF1-4708-A267-665DBE1857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5" name="AutoShape 286">
          <a:extLst>
            <a:ext uri="{FF2B5EF4-FFF2-40B4-BE49-F238E27FC236}">
              <a16:creationId xmlns:a16="http://schemas.microsoft.com/office/drawing/2014/main" id="{A32BD248-DF8B-40C0-B7D3-AFB9944B97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6" name="AutoShape 285">
          <a:extLst>
            <a:ext uri="{FF2B5EF4-FFF2-40B4-BE49-F238E27FC236}">
              <a16:creationId xmlns:a16="http://schemas.microsoft.com/office/drawing/2014/main" id="{1D6D0ECD-EDA0-4D4E-97AB-25B27A0BBFB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7" name="AutoShape 284">
          <a:extLst>
            <a:ext uri="{FF2B5EF4-FFF2-40B4-BE49-F238E27FC236}">
              <a16:creationId xmlns:a16="http://schemas.microsoft.com/office/drawing/2014/main" id="{F5AD036F-1BD3-4694-976C-0F37D56C755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8" name="AutoShape 283">
          <a:extLst>
            <a:ext uri="{FF2B5EF4-FFF2-40B4-BE49-F238E27FC236}">
              <a16:creationId xmlns:a16="http://schemas.microsoft.com/office/drawing/2014/main" id="{2A9AFDDD-CD84-4B3A-B4B4-8ECAEB39B8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79" name="AutoShape 282">
          <a:extLst>
            <a:ext uri="{FF2B5EF4-FFF2-40B4-BE49-F238E27FC236}">
              <a16:creationId xmlns:a16="http://schemas.microsoft.com/office/drawing/2014/main" id="{FE7B673A-1C67-4FD9-BC32-7E01083389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0" name="AutoShape 281">
          <a:extLst>
            <a:ext uri="{FF2B5EF4-FFF2-40B4-BE49-F238E27FC236}">
              <a16:creationId xmlns:a16="http://schemas.microsoft.com/office/drawing/2014/main" id="{F70B31A2-2409-4BCB-ADB8-51C4A6548A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1" name="AutoShape 280">
          <a:extLst>
            <a:ext uri="{FF2B5EF4-FFF2-40B4-BE49-F238E27FC236}">
              <a16:creationId xmlns:a16="http://schemas.microsoft.com/office/drawing/2014/main" id="{742B50D1-4E94-49D7-BBAD-A67E91A6536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2" name="AutoShape 279">
          <a:extLst>
            <a:ext uri="{FF2B5EF4-FFF2-40B4-BE49-F238E27FC236}">
              <a16:creationId xmlns:a16="http://schemas.microsoft.com/office/drawing/2014/main" id="{2BA30449-1242-44B6-9ACD-B4B795B96E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3" name="AutoShape 278">
          <a:extLst>
            <a:ext uri="{FF2B5EF4-FFF2-40B4-BE49-F238E27FC236}">
              <a16:creationId xmlns:a16="http://schemas.microsoft.com/office/drawing/2014/main" id="{1D5A85B5-E9AB-421E-AD03-18BA7B531B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4" name="AutoShape 277">
          <a:extLst>
            <a:ext uri="{FF2B5EF4-FFF2-40B4-BE49-F238E27FC236}">
              <a16:creationId xmlns:a16="http://schemas.microsoft.com/office/drawing/2014/main" id="{AE3FA60D-8E90-42B2-8E4B-CB2CE3824A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5" name="AutoShape 276">
          <a:extLst>
            <a:ext uri="{FF2B5EF4-FFF2-40B4-BE49-F238E27FC236}">
              <a16:creationId xmlns:a16="http://schemas.microsoft.com/office/drawing/2014/main" id="{74900997-DD0C-4A8A-BCEB-F3B10A08A9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6" name="AutoShape 275">
          <a:extLst>
            <a:ext uri="{FF2B5EF4-FFF2-40B4-BE49-F238E27FC236}">
              <a16:creationId xmlns:a16="http://schemas.microsoft.com/office/drawing/2014/main" id="{4EAF44EA-23E6-43DE-94DB-2B35A5F7842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7" name="AutoShape 274">
          <a:extLst>
            <a:ext uri="{FF2B5EF4-FFF2-40B4-BE49-F238E27FC236}">
              <a16:creationId xmlns:a16="http://schemas.microsoft.com/office/drawing/2014/main" id="{4E67B685-C630-4E88-8371-635B737E89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8" name="AutoShape 273">
          <a:extLst>
            <a:ext uri="{FF2B5EF4-FFF2-40B4-BE49-F238E27FC236}">
              <a16:creationId xmlns:a16="http://schemas.microsoft.com/office/drawing/2014/main" id="{B6266625-4FD6-442F-A8D0-8A902B3F49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89" name="AutoShape 272">
          <a:extLst>
            <a:ext uri="{FF2B5EF4-FFF2-40B4-BE49-F238E27FC236}">
              <a16:creationId xmlns:a16="http://schemas.microsoft.com/office/drawing/2014/main" id="{1FB7BA87-2A82-419D-91F0-6541A6F5951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0" name="AutoShape 271">
          <a:extLst>
            <a:ext uri="{FF2B5EF4-FFF2-40B4-BE49-F238E27FC236}">
              <a16:creationId xmlns:a16="http://schemas.microsoft.com/office/drawing/2014/main" id="{D8C97A43-36D1-41C0-9A80-794985D5AE1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1" name="AutoShape 270">
          <a:extLst>
            <a:ext uri="{FF2B5EF4-FFF2-40B4-BE49-F238E27FC236}">
              <a16:creationId xmlns:a16="http://schemas.microsoft.com/office/drawing/2014/main" id="{CB1E0956-E166-4A29-808F-C3D65B045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2" name="AutoShape 269">
          <a:extLst>
            <a:ext uri="{FF2B5EF4-FFF2-40B4-BE49-F238E27FC236}">
              <a16:creationId xmlns:a16="http://schemas.microsoft.com/office/drawing/2014/main" id="{422D809E-36FD-40EB-AF59-688FF783DF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3" name="AutoShape 268">
          <a:extLst>
            <a:ext uri="{FF2B5EF4-FFF2-40B4-BE49-F238E27FC236}">
              <a16:creationId xmlns:a16="http://schemas.microsoft.com/office/drawing/2014/main" id="{657C5B96-D316-4647-88FD-5B5DA81EF45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4" name="AutoShape 267">
          <a:extLst>
            <a:ext uri="{FF2B5EF4-FFF2-40B4-BE49-F238E27FC236}">
              <a16:creationId xmlns:a16="http://schemas.microsoft.com/office/drawing/2014/main" id="{245B1ADB-E8D2-4250-8FF7-A232384A8D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5" name="AutoShape 266">
          <a:extLst>
            <a:ext uri="{FF2B5EF4-FFF2-40B4-BE49-F238E27FC236}">
              <a16:creationId xmlns:a16="http://schemas.microsoft.com/office/drawing/2014/main" id="{88640C73-AE99-4D62-97BE-1130F0E01D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6" name="AutoShape 265">
          <a:extLst>
            <a:ext uri="{FF2B5EF4-FFF2-40B4-BE49-F238E27FC236}">
              <a16:creationId xmlns:a16="http://schemas.microsoft.com/office/drawing/2014/main" id="{8865EE73-0D5F-4A0D-83E8-25E7F168542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7" name="AutoShape 264">
          <a:extLst>
            <a:ext uri="{FF2B5EF4-FFF2-40B4-BE49-F238E27FC236}">
              <a16:creationId xmlns:a16="http://schemas.microsoft.com/office/drawing/2014/main" id="{349749D1-D59A-4859-BEB2-1147A67412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8" name="AutoShape 263">
          <a:extLst>
            <a:ext uri="{FF2B5EF4-FFF2-40B4-BE49-F238E27FC236}">
              <a16:creationId xmlns:a16="http://schemas.microsoft.com/office/drawing/2014/main" id="{2144A990-8D9D-4D59-B139-D49AB6AA97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2999" name="AutoShape 262">
          <a:extLst>
            <a:ext uri="{FF2B5EF4-FFF2-40B4-BE49-F238E27FC236}">
              <a16:creationId xmlns:a16="http://schemas.microsoft.com/office/drawing/2014/main" id="{A0A03B9F-03B7-480E-AD56-F93F4E982D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0" name="AutoShape 261">
          <a:extLst>
            <a:ext uri="{FF2B5EF4-FFF2-40B4-BE49-F238E27FC236}">
              <a16:creationId xmlns:a16="http://schemas.microsoft.com/office/drawing/2014/main" id="{E9E69EF0-2C19-4206-98E1-27ACE3C9BA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1" name="AutoShape 260">
          <a:extLst>
            <a:ext uri="{FF2B5EF4-FFF2-40B4-BE49-F238E27FC236}">
              <a16:creationId xmlns:a16="http://schemas.microsoft.com/office/drawing/2014/main" id="{C22696D6-16BB-408B-8769-FF6A5C1D00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2" name="AutoShape 259">
          <a:extLst>
            <a:ext uri="{FF2B5EF4-FFF2-40B4-BE49-F238E27FC236}">
              <a16:creationId xmlns:a16="http://schemas.microsoft.com/office/drawing/2014/main" id="{6D1F451C-CE16-459A-B4AE-2CED6D1468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3" name="AutoShape 258">
          <a:extLst>
            <a:ext uri="{FF2B5EF4-FFF2-40B4-BE49-F238E27FC236}">
              <a16:creationId xmlns:a16="http://schemas.microsoft.com/office/drawing/2014/main" id="{0A984AC0-0ABA-492D-BADB-CC83677FE1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4" name="AutoShape 257">
          <a:extLst>
            <a:ext uri="{FF2B5EF4-FFF2-40B4-BE49-F238E27FC236}">
              <a16:creationId xmlns:a16="http://schemas.microsoft.com/office/drawing/2014/main" id="{B88C3624-E69D-423B-9C5F-509DB2C716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5" name="AutoShape 256">
          <a:extLst>
            <a:ext uri="{FF2B5EF4-FFF2-40B4-BE49-F238E27FC236}">
              <a16:creationId xmlns:a16="http://schemas.microsoft.com/office/drawing/2014/main" id="{FE450B5A-7B32-4607-A7F8-378229C9B0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6" name="AutoShape 255">
          <a:extLst>
            <a:ext uri="{FF2B5EF4-FFF2-40B4-BE49-F238E27FC236}">
              <a16:creationId xmlns:a16="http://schemas.microsoft.com/office/drawing/2014/main" id="{DABCCC82-2E06-4113-A197-347034C755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7" name="AutoShape 254">
          <a:extLst>
            <a:ext uri="{FF2B5EF4-FFF2-40B4-BE49-F238E27FC236}">
              <a16:creationId xmlns:a16="http://schemas.microsoft.com/office/drawing/2014/main" id="{B0628DC5-21AA-4DC3-9CCD-49980C7ACD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8" name="AutoShape 253">
          <a:extLst>
            <a:ext uri="{FF2B5EF4-FFF2-40B4-BE49-F238E27FC236}">
              <a16:creationId xmlns:a16="http://schemas.microsoft.com/office/drawing/2014/main" id="{744F8099-2D94-4AAA-900A-E20F3EC401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09" name="AutoShape 252">
          <a:extLst>
            <a:ext uri="{FF2B5EF4-FFF2-40B4-BE49-F238E27FC236}">
              <a16:creationId xmlns:a16="http://schemas.microsoft.com/office/drawing/2014/main" id="{7D97FD25-F029-4251-847A-6014D1E64D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0" name="AutoShape 251">
          <a:extLst>
            <a:ext uri="{FF2B5EF4-FFF2-40B4-BE49-F238E27FC236}">
              <a16:creationId xmlns:a16="http://schemas.microsoft.com/office/drawing/2014/main" id="{84324DA8-AEEB-4B26-9411-8299BFC3BD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1" name="AutoShape 250">
          <a:extLst>
            <a:ext uri="{FF2B5EF4-FFF2-40B4-BE49-F238E27FC236}">
              <a16:creationId xmlns:a16="http://schemas.microsoft.com/office/drawing/2014/main" id="{3BFEA379-5B68-453C-A109-CB18B52542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2" name="AutoShape 249">
          <a:extLst>
            <a:ext uri="{FF2B5EF4-FFF2-40B4-BE49-F238E27FC236}">
              <a16:creationId xmlns:a16="http://schemas.microsoft.com/office/drawing/2014/main" id="{CB8295B9-AA5D-46A2-AEEB-DD96CCF57B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3" name="AutoShape 248">
          <a:extLst>
            <a:ext uri="{FF2B5EF4-FFF2-40B4-BE49-F238E27FC236}">
              <a16:creationId xmlns:a16="http://schemas.microsoft.com/office/drawing/2014/main" id="{E3341FB6-7B41-4423-A27C-4D2EDD8E6C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4" name="AutoShape 247">
          <a:extLst>
            <a:ext uri="{FF2B5EF4-FFF2-40B4-BE49-F238E27FC236}">
              <a16:creationId xmlns:a16="http://schemas.microsoft.com/office/drawing/2014/main" id="{7D2384B4-8AF3-4135-A068-BC837C996F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5" name="AutoShape 246">
          <a:extLst>
            <a:ext uri="{FF2B5EF4-FFF2-40B4-BE49-F238E27FC236}">
              <a16:creationId xmlns:a16="http://schemas.microsoft.com/office/drawing/2014/main" id="{AE66F85D-E9BC-4AC0-9CFF-B13818FA6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6" name="AutoShape 245">
          <a:extLst>
            <a:ext uri="{FF2B5EF4-FFF2-40B4-BE49-F238E27FC236}">
              <a16:creationId xmlns:a16="http://schemas.microsoft.com/office/drawing/2014/main" id="{BC2CC909-E85D-4A25-8923-901347CE8C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7" name="AutoShape 244">
          <a:extLst>
            <a:ext uri="{FF2B5EF4-FFF2-40B4-BE49-F238E27FC236}">
              <a16:creationId xmlns:a16="http://schemas.microsoft.com/office/drawing/2014/main" id="{E486CC79-518F-4285-B0CD-84BB757815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8" name="AutoShape 243">
          <a:extLst>
            <a:ext uri="{FF2B5EF4-FFF2-40B4-BE49-F238E27FC236}">
              <a16:creationId xmlns:a16="http://schemas.microsoft.com/office/drawing/2014/main" id="{E5B3391B-A3FB-456F-90DC-52B30A07BB8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19" name="AutoShape 242">
          <a:extLst>
            <a:ext uri="{FF2B5EF4-FFF2-40B4-BE49-F238E27FC236}">
              <a16:creationId xmlns:a16="http://schemas.microsoft.com/office/drawing/2014/main" id="{E43B009B-5CA1-4960-AA8F-F90A7787F9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0" name="AutoShape 241">
          <a:extLst>
            <a:ext uri="{FF2B5EF4-FFF2-40B4-BE49-F238E27FC236}">
              <a16:creationId xmlns:a16="http://schemas.microsoft.com/office/drawing/2014/main" id="{0DE48E75-B247-4D8F-82DB-6E9BA00C62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1" name="AutoShape 240">
          <a:extLst>
            <a:ext uri="{FF2B5EF4-FFF2-40B4-BE49-F238E27FC236}">
              <a16:creationId xmlns:a16="http://schemas.microsoft.com/office/drawing/2014/main" id="{DD590AE4-297C-4E88-90FB-7520E6E569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2" name="AutoShape 239">
          <a:extLst>
            <a:ext uri="{FF2B5EF4-FFF2-40B4-BE49-F238E27FC236}">
              <a16:creationId xmlns:a16="http://schemas.microsoft.com/office/drawing/2014/main" id="{FE719F77-DDB9-4B7C-8EA7-069E693047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3" name="AutoShape 238">
          <a:extLst>
            <a:ext uri="{FF2B5EF4-FFF2-40B4-BE49-F238E27FC236}">
              <a16:creationId xmlns:a16="http://schemas.microsoft.com/office/drawing/2014/main" id="{86E2CC26-90C9-4825-A766-E20A90529F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4" name="AutoShape 237">
          <a:extLst>
            <a:ext uri="{FF2B5EF4-FFF2-40B4-BE49-F238E27FC236}">
              <a16:creationId xmlns:a16="http://schemas.microsoft.com/office/drawing/2014/main" id="{F3E02746-BEEA-40E4-884B-DADDF3DEF9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5" name="AutoShape 236">
          <a:extLst>
            <a:ext uri="{FF2B5EF4-FFF2-40B4-BE49-F238E27FC236}">
              <a16:creationId xmlns:a16="http://schemas.microsoft.com/office/drawing/2014/main" id="{5538A4A8-9A77-416F-8F1B-EF79FE603B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6" name="AutoShape 235">
          <a:extLst>
            <a:ext uri="{FF2B5EF4-FFF2-40B4-BE49-F238E27FC236}">
              <a16:creationId xmlns:a16="http://schemas.microsoft.com/office/drawing/2014/main" id="{F89EA0DB-EF9B-454D-8FD6-2F6DE850DC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7" name="AutoShape 234">
          <a:extLst>
            <a:ext uri="{FF2B5EF4-FFF2-40B4-BE49-F238E27FC236}">
              <a16:creationId xmlns:a16="http://schemas.microsoft.com/office/drawing/2014/main" id="{E8A37B64-F84B-4398-8F36-71867CC52A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8" name="AutoShape 233">
          <a:extLst>
            <a:ext uri="{FF2B5EF4-FFF2-40B4-BE49-F238E27FC236}">
              <a16:creationId xmlns:a16="http://schemas.microsoft.com/office/drawing/2014/main" id="{67BB38B2-EF4B-495D-B0F0-ACA899531C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29" name="AutoShape 232">
          <a:extLst>
            <a:ext uri="{FF2B5EF4-FFF2-40B4-BE49-F238E27FC236}">
              <a16:creationId xmlns:a16="http://schemas.microsoft.com/office/drawing/2014/main" id="{C9FA47FA-A195-469B-8D1B-692EE97929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0" name="AutoShape 231">
          <a:extLst>
            <a:ext uri="{FF2B5EF4-FFF2-40B4-BE49-F238E27FC236}">
              <a16:creationId xmlns:a16="http://schemas.microsoft.com/office/drawing/2014/main" id="{34BE23F2-D3B9-4087-9C94-FCB12787E1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1" name="AutoShape 230">
          <a:extLst>
            <a:ext uri="{FF2B5EF4-FFF2-40B4-BE49-F238E27FC236}">
              <a16:creationId xmlns:a16="http://schemas.microsoft.com/office/drawing/2014/main" id="{28BDFDA7-8217-4CF6-A5A1-C9964E0C4A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2" name="AutoShape 344">
          <a:extLst>
            <a:ext uri="{FF2B5EF4-FFF2-40B4-BE49-F238E27FC236}">
              <a16:creationId xmlns:a16="http://schemas.microsoft.com/office/drawing/2014/main" id="{C2AD0DFA-B793-4BD9-9615-917DEF7E8F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3" name="AutoShape 343">
          <a:extLst>
            <a:ext uri="{FF2B5EF4-FFF2-40B4-BE49-F238E27FC236}">
              <a16:creationId xmlns:a16="http://schemas.microsoft.com/office/drawing/2014/main" id="{51BE7605-1F9D-4CCD-AD27-BAA6A9C939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4" name="AutoShape 342">
          <a:extLst>
            <a:ext uri="{FF2B5EF4-FFF2-40B4-BE49-F238E27FC236}">
              <a16:creationId xmlns:a16="http://schemas.microsoft.com/office/drawing/2014/main" id="{2A558CAD-4FF7-4CFF-AA02-3923F3355C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5" name="AutoShape 341">
          <a:extLst>
            <a:ext uri="{FF2B5EF4-FFF2-40B4-BE49-F238E27FC236}">
              <a16:creationId xmlns:a16="http://schemas.microsoft.com/office/drawing/2014/main" id="{F44D232B-B502-48A0-9E78-B8055C13641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6" name="AutoShape 340">
          <a:extLst>
            <a:ext uri="{FF2B5EF4-FFF2-40B4-BE49-F238E27FC236}">
              <a16:creationId xmlns:a16="http://schemas.microsoft.com/office/drawing/2014/main" id="{8CDFB15D-DE15-45E6-AB51-3475177D5E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7" name="AutoShape 339">
          <a:extLst>
            <a:ext uri="{FF2B5EF4-FFF2-40B4-BE49-F238E27FC236}">
              <a16:creationId xmlns:a16="http://schemas.microsoft.com/office/drawing/2014/main" id="{13A83A42-24EA-4C08-8978-0FBB50F696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8" name="AutoShape 338">
          <a:extLst>
            <a:ext uri="{FF2B5EF4-FFF2-40B4-BE49-F238E27FC236}">
              <a16:creationId xmlns:a16="http://schemas.microsoft.com/office/drawing/2014/main" id="{E314BDEA-95B0-492A-B6DF-80823E54EF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39" name="AutoShape 337">
          <a:extLst>
            <a:ext uri="{FF2B5EF4-FFF2-40B4-BE49-F238E27FC236}">
              <a16:creationId xmlns:a16="http://schemas.microsoft.com/office/drawing/2014/main" id="{0EB5746B-8E7D-42A7-9B4D-648FBEBE87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0" name="AutoShape 336">
          <a:extLst>
            <a:ext uri="{FF2B5EF4-FFF2-40B4-BE49-F238E27FC236}">
              <a16:creationId xmlns:a16="http://schemas.microsoft.com/office/drawing/2014/main" id="{FEE0EC67-2BA0-4A32-B5D0-E04309D31C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1" name="AutoShape 335">
          <a:extLst>
            <a:ext uri="{FF2B5EF4-FFF2-40B4-BE49-F238E27FC236}">
              <a16:creationId xmlns:a16="http://schemas.microsoft.com/office/drawing/2014/main" id="{94FAA8C1-F32E-4B4C-885A-56C74E4BC6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2" name="AutoShape 334">
          <a:extLst>
            <a:ext uri="{FF2B5EF4-FFF2-40B4-BE49-F238E27FC236}">
              <a16:creationId xmlns:a16="http://schemas.microsoft.com/office/drawing/2014/main" id="{C09AC7DB-B9A1-4512-A98E-35D3F600A2B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3" name="AutoShape 333">
          <a:extLst>
            <a:ext uri="{FF2B5EF4-FFF2-40B4-BE49-F238E27FC236}">
              <a16:creationId xmlns:a16="http://schemas.microsoft.com/office/drawing/2014/main" id="{C0193826-BD23-4F97-A7E2-965C240F632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4" name="AutoShape 332">
          <a:extLst>
            <a:ext uri="{FF2B5EF4-FFF2-40B4-BE49-F238E27FC236}">
              <a16:creationId xmlns:a16="http://schemas.microsoft.com/office/drawing/2014/main" id="{BE391922-8C99-484C-8290-34BC1F0C27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5" name="AutoShape 331">
          <a:extLst>
            <a:ext uri="{FF2B5EF4-FFF2-40B4-BE49-F238E27FC236}">
              <a16:creationId xmlns:a16="http://schemas.microsoft.com/office/drawing/2014/main" id="{5737D822-D9AE-461C-8F7A-A4B50E32C8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6" name="AutoShape 330">
          <a:extLst>
            <a:ext uri="{FF2B5EF4-FFF2-40B4-BE49-F238E27FC236}">
              <a16:creationId xmlns:a16="http://schemas.microsoft.com/office/drawing/2014/main" id="{45EB9641-46A9-4B7D-BE3E-ABDD079740D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7" name="AutoShape 329">
          <a:extLst>
            <a:ext uri="{FF2B5EF4-FFF2-40B4-BE49-F238E27FC236}">
              <a16:creationId xmlns:a16="http://schemas.microsoft.com/office/drawing/2014/main" id="{7C7A29C7-DD0A-49F1-B908-EBE3A29398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8" name="AutoShape 328">
          <a:extLst>
            <a:ext uri="{FF2B5EF4-FFF2-40B4-BE49-F238E27FC236}">
              <a16:creationId xmlns:a16="http://schemas.microsoft.com/office/drawing/2014/main" id="{7168509E-CE03-4AFF-884D-1BD07793EC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49" name="AutoShape 327">
          <a:extLst>
            <a:ext uri="{FF2B5EF4-FFF2-40B4-BE49-F238E27FC236}">
              <a16:creationId xmlns:a16="http://schemas.microsoft.com/office/drawing/2014/main" id="{2C42638F-54E6-4794-B401-4BCA35C3A3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0" name="AutoShape 326">
          <a:extLst>
            <a:ext uri="{FF2B5EF4-FFF2-40B4-BE49-F238E27FC236}">
              <a16:creationId xmlns:a16="http://schemas.microsoft.com/office/drawing/2014/main" id="{5AE49B21-162B-4349-B64A-97F7B2C93CB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1" name="AutoShape 325">
          <a:extLst>
            <a:ext uri="{FF2B5EF4-FFF2-40B4-BE49-F238E27FC236}">
              <a16:creationId xmlns:a16="http://schemas.microsoft.com/office/drawing/2014/main" id="{EDEF6753-AAA6-48E6-A489-E83B902815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2" name="AutoShape 324">
          <a:extLst>
            <a:ext uri="{FF2B5EF4-FFF2-40B4-BE49-F238E27FC236}">
              <a16:creationId xmlns:a16="http://schemas.microsoft.com/office/drawing/2014/main" id="{40BD25F2-A821-44FC-913D-DE5E1D4A6C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3" name="AutoShape 323">
          <a:extLst>
            <a:ext uri="{FF2B5EF4-FFF2-40B4-BE49-F238E27FC236}">
              <a16:creationId xmlns:a16="http://schemas.microsoft.com/office/drawing/2014/main" id="{DEF06F0A-DE25-4099-85AF-812F849939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4" name="AutoShape 322">
          <a:extLst>
            <a:ext uri="{FF2B5EF4-FFF2-40B4-BE49-F238E27FC236}">
              <a16:creationId xmlns:a16="http://schemas.microsoft.com/office/drawing/2014/main" id="{BA1CB08D-7E1D-421E-B001-612971790B6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5" name="AutoShape 321">
          <a:extLst>
            <a:ext uri="{FF2B5EF4-FFF2-40B4-BE49-F238E27FC236}">
              <a16:creationId xmlns:a16="http://schemas.microsoft.com/office/drawing/2014/main" id="{632CF75F-2EB2-4285-BBBB-026DD7AC470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6" name="AutoShape 320">
          <a:extLst>
            <a:ext uri="{FF2B5EF4-FFF2-40B4-BE49-F238E27FC236}">
              <a16:creationId xmlns:a16="http://schemas.microsoft.com/office/drawing/2014/main" id="{DDA1533B-564E-4AB4-B857-090D3EF80C9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7" name="AutoShape 319">
          <a:extLst>
            <a:ext uri="{FF2B5EF4-FFF2-40B4-BE49-F238E27FC236}">
              <a16:creationId xmlns:a16="http://schemas.microsoft.com/office/drawing/2014/main" id="{3FB41C10-D59E-4643-9618-3C839A0685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8" name="AutoShape 318">
          <a:extLst>
            <a:ext uri="{FF2B5EF4-FFF2-40B4-BE49-F238E27FC236}">
              <a16:creationId xmlns:a16="http://schemas.microsoft.com/office/drawing/2014/main" id="{4E26A161-E276-4666-9525-E9FC54FE6C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59" name="AutoShape 317">
          <a:extLst>
            <a:ext uri="{FF2B5EF4-FFF2-40B4-BE49-F238E27FC236}">
              <a16:creationId xmlns:a16="http://schemas.microsoft.com/office/drawing/2014/main" id="{E6A3D8A8-1AF8-4E08-96C0-CB93CEA387D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0" name="AutoShape 316">
          <a:extLst>
            <a:ext uri="{FF2B5EF4-FFF2-40B4-BE49-F238E27FC236}">
              <a16:creationId xmlns:a16="http://schemas.microsoft.com/office/drawing/2014/main" id="{7E37B8D9-256F-4810-B29C-47FAF009A1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1" name="AutoShape 315">
          <a:extLst>
            <a:ext uri="{FF2B5EF4-FFF2-40B4-BE49-F238E27FC236}">
              <a16:creationId xmlns:a16="http://schemas.microsoft.com/office/drawing/2014/main" id="{7358F4D7-64F2-4E91-968E-FF28D643320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2" name="AutoShape 314">
          <a:extLst>
            <a:ext uri="{FF2B5EF4-FFF2-40B4-BE49-F238E27FC236}">
              <a16:creationId xmlns:a16="http://schemas.microsoft.com/office/drawing/2014/main" id="{5EE470EA-295D-4292-9860-7C69BA1CD0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3" name="AutoShape 313">
          <a:extLst>
            <a:ext uri="{FF2B5EF4-FFF2-40B4-BE49-F238E27FC236}">
              <a16:creationId xmlns:a16="http://schemas.microsoft.com/office/drawing/2014/main" id="{3E7FDBA0-9921-49B6-9DD0-11A406FF7E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4" name="AutoShape 312">
          <a:extLst>
            <a:ext uri="{FF2B5EF4-FFF2-40B4-BE49-F238E27FC236}">
              <a16:creationId xmlns:a16="http://schemas.microsoft.com/office/drawing/2014/main" id="{6510872E-F8C6-44A0-927F-3CC7FD8F78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5" name="AutoShape 311">
          <a:extLst>
            <a:ext uri="{FF2B5EF4-FFF2-40B4-BE49-F238E27FC236}">
              <a16:creationId xmlns:a16="http://schemas.microsoft.com/office/drawing/2014/main" id="{F68E6DB7-ED5D-4B9D-A506-785DE2EF4F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6" name="AutoShape 310">
          <a:extLst>
            <a:ext uri="{FF2B5EF4-FFF2-40B4-BE49-F238E27FC236}">
              <a16:creationId xmlns:a16="http://schemas.microsoft.com/office/drawing/2014/main" id="{756B0639-C86C-44FB-9FC8-0BC96A975F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7" name="AutoShape 309">
          <a:extLst>
            <a:ext uri="{FF2B5EF4-FFF2-40B4-BE49-F238E27FC236}">
              <a16:creationId xmlns:a16="http://schemas.microsoft.com/office/drawing/2014/main" id="{5060DB98-1C68-4641-8B3C-594C551594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8" name="AutoShape 308">
          <a:extLst>
            <a:ext uri="{FF2B5EF4-FFF2-40B4-BE49-F238E27FC236}">
              <a16:creationId xmlns:a16="http://schemas.microsoft.com/office/drawing/2014/main" id="{A46AA043-59BE-4882-9056-091D4FEEF5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69" name="AutoShape 307">
          <a:extLst>
            <a:ext uri="{FF2B5EF4-FFF2-40B4-BE49-F238E27FC236}">
              <a16:creationId xmlns:a16="http://schemas.microsoft.com/office/drawing/2014/main" id="{193688DA-3EF6-479A-B232-8AC0CA8252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0" name="AutoShape 306">
          <a:extLst>
            <a:ext uri="{FF2B5EF4-FFF2-40B4-BE49-F238E27FC236}">
              <a16:creationId xmlns:a16="http://schemas.microsoft.com/office/drawing/2014/main" id="{6F4DCA00-E52A-4A28-B1E8-D179B4A9ED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1" name="AutoShape 305">
          <a:extLst>
            <a:ext uri="{FF2B5EF4-FFF2-40B4-BE49-F238E27FC236}">
              <a16:creationId xmlns:a16="http://schemas.microsoft.com/office/drawing/2014/main" id="{B6FEE7B5-662F-4910-A274-2AEF0874FA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2" name="AutoShape 304">
          <a:extLst>
            <a:ext uri="{FF2B5EF4-FFF2-40B4-BE49-F238E27FC236}">
              <a16:creationId xmlns:a16="http://schemas.microsoft.com/office/drawing/2014/main" id="{FDC9C883-C948-406D-B379-7512F1A589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3" name="AutoShape 303">
          <a:extLst>
            <a:ext uri="{FF2B5EF4-FFF2-40B4-BE49-F238E27FC236}">
              <a16:creationId xmlns:a16="http://schemas.microsoft.com/office/drawing/2014/main" id="{705AD0B5-EB88-41CD-93E7-403C484E05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4" name="AutoShape 302">
          <a:extLst>
            <a:ext uri="{FF2B5EF4-FFF2-40B4-BE49-F238E27FC236}">
              <a16:creationId xmlns:a16="http://schemas.microsoft.com/office/drawing/2014/main" id="{C583027D-F5AD-4F12-BA2D-3A1A6A8210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5" name="AutoShape 301">
          <a:extLst>
            <a:ext uri="{FF2B5EF4-FFF2-40B4-BE49-F238E27FC236}">
              <a16:creationId xmlns:a16="http://schemas.microsoft.com/office/drawing/2014/main" id="{A2C18243-A7A6-4EA2-A895-284D5A9F9F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6" name="AutoShape 300">
          <a:extLst>
            <a:ext uri="{FF2B5EF4-FFF2-40B4-BE49-F238E27FC236}">
              <a16:creationId xmlns:a16="http://schemas.microsoft.com/office/drawing/2014/main" id="{5A0D40C0-1220-4AAA-8313-1B4FD9CD86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7" name="AutoShape 299">
          <a:extLst>
            <a:ext uri="{FF2B5EF4-FFF2-40B4-BE49-F238E27FC236}">
              <a16:creationId xmlns:a16="http://schemas.microsoft.com/office/drawing/2014/main" id="{CB5B0F81-EC59-49BB-9751-4A31C6C0B2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8" name="AutoShape 298">
          <a:extLst>
            <a:ext uri="{FF2B5EF4-FFF2-40B4-BE49-F238E27FC236}">
              <a16:creationId xmlns:a16="http://schemas.microsoft.com/office/drawing/2014/main" id="{8848349D-4A31-426B-BB91-4C313E6E2F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79" name="AutoShape 297">
          <a:extLst>
            <a:ext uri="{FF2B5EF4-FFF2-40B4-BE49-F238E27FC236}">
              <a16:creationId xmlns:a16="http://schemas.microsoft.com/office/drawing/2014/main" id="{F7AB0F65-D7FC-464C-A41E-5435D5DFB0A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0" name="AutoShape 296">
          <a:extLst>
            <a:ext uri="{FF2B5EF4-FFF2-40B4-BE49-F238E27FC236}">
              <a16:creationId xmlns:a16="http://schemas.microsoft.com/office/drawing/2014/main" id="{8800553C-7B1B-4216-81FA-082286578C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1" name="AutoShape 295">
          <a:extLst>
            <a:ext uri="{FF2B5EF4-FFF2-40B4-BE49-F238E27FC236}">
              <a16:creationId xmlns:a16="http://schemas.microsoft.com/office/drawing/2014/main" id="{9E095767-E0AE-42EC-BE4B-C6623826DA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2" name="AutoShape 294">
          <a:extLst>
            <a:ext uri="{FF2B5EF4-FFF2-40B4-BE49-F238E27FC236}">
              <a16:creationId xmlns:a16="http://schemas.microsoft.com/office/drawing/2014/main" id="{5DF337F3-4391-4986-82D2-29F4C1318E1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3" name="AutoShape 293">
          <a:extLst>
            <a:ext uri="{FF2B5EF4-FFF2-40B4-BE49-F238E27FC236}">
              <a16:creationId xmlns:a16="http://schemas.microsoft.com/office/drawing/2014/main" id="{0BB4B042-9F16-4332-9486-12AB51F0BF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4" name="AutoShape 292">
          <a:extLst>
            <a:ext uri="{FF2B5EF4-FFF2-40B4-BE49-F238E27FC236}">
              <a16:creationId xmlns:a16="http://schemas.microsoft.com/office/drawing/2014/main" id="{B7D38B07-11E5-4653-A4EA-0BA9FD1CC1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5" name="AutoShape 291">
          <a:extLst>
            <a:ext uri="{FF2B5EF4-FFF2-40B4-BE49-F238E27FC236}">
              <a16:creationId xmlns:a16="http://schemas.microsoft.com/office/drawing/2014/main" id="{8CFD2761-156C-4541-803C-8E213139D56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6" name="AutoShape 290">
          <a:extLst>
            <a:ext uri="{FF2B5EF4-FFF2-40B4-BE49-F238E27FC236}">
              <a16:creationId xmlns:a16="http://schemas.microsoft.com/office/drawing/2014/main" id="{905E7CC1-372E-4172-9264-6B270013BCD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7" name="AutoShape 289">
          <a:extLst>
            <a:ext uri="{FF2B5EF4-FFF2-40B4-BE49-F238E27FC236}">
              <a16:creationId xmlns:a16="http://schemas.microsoft.com/office/drawing/2014/main" id="{5EED2D80-27DF-4245-A52C-19051FD30C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8" name="AutoShape 288">
          <a:extLst>
            <a:ext uri="{FF2B5EF4-FFF2-40B4-BE49-F238E27FC236}">
              <a16:creationId xmlns:a16="http://schemas.microsoft.com/office/drawing/2014/main" id="{9A2FAB7A-C4E8-4E41-A397-A00180F84B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89" name="AutoShape 287">
          <a:extLst>
            <a:ext uri="{FF2B5EF4-FFF2-40B4-BE49-F238E27FC236}">
              <a16:creationId xmlns:a16="http://schemas.microsoft.com/office/drawing/2014/main" id="{7C15D3F1-EFEB-45D4-8D4C-66DCD0F7CE2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0" name="AutoShape 286">
          <a:extLst>
            <a:ext uri="{FF2B5EF4-FFF2-40B4-BE49-F238E27FC236}">
              <a16:creationId xmlns:a16="http://schemas.microsoft.com/office/drawing/2014/main" id="{7B134B65-B631-4171-A656-ACDAE50151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1" name="AutoShape 285">
          <a:extLst>
            <a:ext uri="{FF2B5EF4-FFF2-40B4-BE49-F238E27FC236}">
              <a16:creationId xmlns:a16="http://schemas.microsoft.com/office/drawing/2014/main" id="{8527BEB0-3241-4A79-8D78-57ACCEA88A6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2" name="AutoShape 284">
          <a:extLst>
            <a:ext uri="{FF2B5EF4-FFF2-40B4-BE49-F238E27FC236}">
              <a16:creationId xmlns:a16="http://schemas.microsoft.com/office/drawing/2014/main" id="{4EBA165A-7855-4A73-8721-19FBD028D5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3" name="AutoShape 283">
          <a:extLst>
            <a:ext uri="{FF2B5EF4-FFF2-40B4-BE49-F238E27FC236}">
              <a16:creationId xmlns:a16="http://schemas.microsoft.com/office/drawing/2014/main" id="{9F8492A6-99DB-4842-8288-CB61BEAB5A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4" name="AutoShape 282">
          <a:extLst>
            <a:ext uri="{FF2B5EF4-FFF2-40B4-BE49-F238E27FC236}">
              <a16:creationId xmlns:a16="http://schemas.microsoft.com/office/drawing/2014/main" id="{56951815-027B-4606-9BC1-E4921EBE41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5" name="AutoShape 281">
          <a:extLst>
            <a:ext uri="{FF2B5EF4-FFF2-40B4-BE49-F238E27FC236}">
              <a16:creationId xmlns:a16="http://schemas.microsoft.com/office/drawing/2014/main" id="{8A309CA1-A58A-4D77-A071-7C4A925598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6" name="AutoShape 280">
          <a:extLst>
            <a:ext uri="{FF2B5EF4-FFF2-40B4-BE49-F238E27FC236}">
              <a16:creationId xmlns:a16="http://schemas.microsoft.com/office/drawing/2014/main" id="{A2B0763A-7018-4840-99A9-8DAEA4665E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7" name="AutoShape 279">
          <a:extLst>
            <a:ext uri="{FF2B5EF4-FFF2-40B4-BE49-F238E27FC236}">
              <a16:creationId xmlns:a16="http://schemas.microsoft.com/office/drawing/2014/main" id="{EEF03005-647A-42AE-9FF1-EB1CED29FDE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8" name="AutoShape 278">
          <a:extLst>
            <a:ext uri="{FF2B5EF4-FFF2-40B4-BE49-F238E27FC236}">
              <a16:creationId xmlns:a16="http://schemas.microsoft.com/office/drawing/2014/main" id="{FA388364-2C4F-4712-87D4-1BAF94EBBA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099" name="AutoShape 277">
          <a:extLst>
            <a:ext uri="{FF2B5EF4-FFF2-40B4-BE49-F238E27FC236}">
              <a16:creationId xmlns:a16="http://schemas.microsoft.com/office/drawing/2014/main" id="{C1416253-134A-4E42-8603-4CB93E5E05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0" name="AutoShape 276">
          <a:extLst>
            <a:ext uri="{FF2B5EF4-FFF2-40B4-BE49-F238E27FC236}">
              <a16:creationId xmlns:a16="http://schemas.microsoft.com/office/drawing/2014/main" id="{F579D092-7EAC-4275-9105-091A08B0BA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1" name="AutoShape 275">
          <a:extLst>
            <a:ext uri="{FF2B5EF4-FFF2-40B4-BE49-F238E27FC236}">
              <a16:creationId xmlns:a16="http://schemas.microsoft.com/office/drawing/2014/main" id="{B04A1808-32FD-4A5B-B27A-0286FC1C84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2" name="AutoShape 274">
          <a:extLst>
            <a:ext uri="{FF2B5EF4-FFF2-40B4-BE49-F238E27FC236}">
              <a16:creationId xmlns:a16="http://schemas.microsoft.com/office/drawing/2014/main" id="{D44F6F1E-1548-477F-A88B-113CAD82F1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3" name="AutoShape 273">
          <a:extLst>
            <a:ext uri="{FF2B5EF4-FFF2-40B4-BE49-F238E27FC236}">
              <a16:creationId xmlns:a16="http://schemas.microsoft.com/office/drawing/2014/main" id="{69026798-26DD-4355-B073-FC646DBD34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4" name="AutoShape 272">
          <a:extLst>
            <a:ext uri="{FF2B5EF4-FFF2-40B4-BE49-F238E27FC236}">
              <a16:creationId xmlns:a16="http://schemas.microsoft.com/office/drawing/2014/main" id="{CBCC6F77-5418-41D4-82F7-4EB53237E0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5" name="AutoShape 271">
          <a:extLst>
            <a:ext uri="{FF2B5EF4-FFF2-40B4-BE49-F238E27FC236}">
              <a16:creationId xmlns:a16="http://schemas.microsoft.com/office/drawing/2014/main" id="{D20031B5-E6A5-4C35-86C2-11D6738E5E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6" name="AutoShape 270">
          <a:extLst>
            <a:ext uri="{FF2B5EF4-FFF2-40B4-BE49-F238E27FC236}">
              <a16:creationId xmlns:a16="http://schemas.microsoft.com/office/drawing/2014/main" id="{8E240E1D-DCD6-4FA2-AA9B-50E02CCCEC0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7" name="AutoShape 269">
          <a:extLst>
            <a:ext uri="{FF2B5EF4-FFF2-40B4-BE49-F238E27FC236}">
              <a16:creationId xmlns:a16="http://schemas.microsoft.com/office/drawing/2014/main" id="{1DBD1942-29B4-4527-9896-75E39C40C3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8" name="AutoShape 268">
          <a:extLst>
            <a:ext uri="{FF2B5EF4-FFF2-40B4-BE49-F238E27FC236}">
              <a16:creationId xmlns:a16="http://schemas.microsoft.com/office/drawing/2014/main" id="{3FAFEECF-AC99-4EEA-B043-96EEF44C74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09" name="AutoShape 267">
          <a:extLst>
            <a:ext uri="{FF2B5EF4-FFF2-40B4-BE49-F238E27FC236}">
              <a16:creationId xmlns:a16="http://schemas.microsoft.com/office/drawing/2014/main" id="{A326AEBF-795E-42D6-9D79-2D46D38F40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0" name="AutoShape 266">
          <a:extLst>
            <a:ext uri="{FF2B5EF4-FFF2-40B4-BE49-F238E27FC236}">
              <a16:creationId xmlns:a16="http://schemas.microsoft.com/office/drawing/2014/main" id="{556C4F20-946D-4FE2-906D-F143AA2869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1" name="AutoShape 265">
          <a:extLst>
            <a:ext uri="{FF2B5EF4-FFF2-40B4-BE49-F238E27FC236}">
              <a16:creationId xmlns:a16="http://schemas.microsoft.com/office/drawing/2014/main" id="{2F30F2FE-5629-4246-AC8A-0D283A6E46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2" name="AutoShape 264">
          <a:extLst>
            <a:ext uri="{FF2B5EF4-FFF2-40B4-BE49-F238E27FC236}">
              <a16:creationId xmlns:a16="http://schemas.microsoft.com/office/drawing/2014/main" id="{71F2B809-B9D3-4F49-A79C-481BF8B82C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3" name="AutoShape 263">
          <a:extLst>
            <a:ext uri="{FF2B5EF4-FFF2-40B4-BE49-F238E27FC236}">
              <a16:creationId xmlns:a16="http://schemas.microsoft.com/office/drawing/2014/main" id="{C07D6F7B-01CF-4416-8CFD-90431D7A73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4" name="AutoShape 262">
          <a:extLst>
            <a:ext uri="{FF2B5EF4-FFF2-40B4-BE49-F238E27FC236}">
              <a16:creationId xmlns:a16="http://schemas.microsoft.com/office/drawing/2014/main" id="{D8A87CC9-E60E-41E9-9567-318BB5DA1E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5" name="AutoShape 261">
          <a:extLst>
            <a:ext uri="{FF2B5EF4-FFF2-40B4-BE49-F238E27FC236}">
              <a16:creationId xmlns:a16="http://schemas.microsoft.com/office/drawing/2014/main" id="{854E0B61-FF34-4DA6-902A-A87D4865C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6" name="AutoShape 260">
          <a:extLst>
            <a:ext uri="{FF2B5EF4-FFF2-40B4-BE49-F238E27FC236}">
              <a16:creationId xmlns:a16="http://schemas.microsoft.com/office/drawing/2014/main" id="{32D90B1E-34FC-4682-846B-6205EBA568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7" name="AutoShape 259">
          <a:extLst>
            <a:ext uri="{FF2B5EF4-FFF2-40B4-BE49-F238E27FC236}">
              <a16:creationId xmlns:a16="http://schemas.microsoft.com/office/drawing/2014/main" id="{1E395DA0-BC93-4400-ADEB-4366CFEC80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8" name="AutoShape 258">
          <a:extLst>
            <a:ext uri="{FF2B5EF4-FFF2-40B4-BE49-F238E27FC236}">
              <a16:creationId xmlns:a16="http://schemas.microsoft.com/office/drawing/2014/main" id="{6D106290-BBE6-49DC-9607-242415F0AA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19" name="AutoShape 257">
          <a:extLst>
            <a:ext uri="{FF2B5EF4-FFF2-40B4-BE49-F238E27FC236}">
              <a16:creationId xmlns:a16="http://schemas.microsoft.com/office/drawing/2014/main" id="{8870B4AF-BFD8-4D1D-A3C9-E424137AA7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0" name="AutoShape 256">
          <a:extLst>
            <a:ext uri="{FF2B5EF4-FFF2-40B4-BE49-F238E27FC236}">
              <a16:creationId xmlns:a16="http://schemas.microsoft.com/office/drawing/2014/main" id="{77E84623-4279-4574-ADD6-8B506AFF1A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1" name="AutoShape 255">
          <a:extLst>
            <a:ext uri="{FF2B5EF4-FFF2-40B4-BE49-F238E27FC236}">
              <a16:creationId xmlns:a16="http://schemas.microsoft.com/office/drawing/2014/main" id="{6AD90E1B-83B4-421E-AF69-58F26EF238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2" name="AutoShape 254">
          <a:extLst>
            <a:ext uri="{FF2B5EF4-FFF2-40B4-BE49-F238E27FC236}">
              <a16:creationId xmlns:a16="http://schemas.microsoft.com/office/drawing/2014/main" id="{5C05CA50-5971-4C9F-B473-6F8FDEB9792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3" name="AutoShape 253">
          <a:extLst>
            <a:ext uri="{FF2B5EF4-FFF2-40B4-BE49-F238E27FC236}">
              <a16:creationId xmlns:a16="http://schemas.microsoft.com/office/drawing/2014/main" id="{60DCA237-276D-4545-A293-0AE2DA6A84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4" name="AutoShape 252">
          <a:extLst>
            <a:ext uri="{FF2B5EF4-FFF2-40B4-BE49-F238E27FC236}">
              <a16:creationId xmlns:a16="http://schemas.microsoft.com/office/drawing/2014/main" id="{9CF1B03A-723F-41B8-9E36-D2ECBD6C19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5" name="AutoShape 251">
          <a:extLst>
            <a:ext uri="{FF2B5EF4-FFF2-40B4-BE49-F238E27FC236}">
              <a16:creationId xmlns:a16="http://schemas.microsoft.com/office/drawing/2014/main" id="{C8823BB4-4355-4EB4-8205-89B45AB887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6" name="AutoShape 250">
          <a:extLst>
            <a:ext uri="{FF2B5EF4-FFF2-40B4-BE49-F238E27FC236}">
              <a16:creationId xmlns:a16="http://schemas.microsoft.com/office/drawing/2014/main" id="{1B3CD3F6-DAB9-4DFA-B641-D026C8A547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7" name="AutoShape 249">
          <a:extLst>
            <a:ext uri="{FF2B5EF4-FFF2-40B4-BE49-F238E27FC236}">
              <a16:creationId xmlns:a16="http://schemas.microsoft.com/office/drawing/2014/main" id="{6C2A2B40-B90F-4D24-B6E8-41F5478780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8" name="AutoShape 248">
          <a:extLst>
            <a:ext uri="{FF2B5EF4-FFF2-40B4-BE49-F238E27FC236}">
              <a16:creationId xmlns:a16="http://schemas.microsoft.com/office/drawing/2014/main" id="{FBB94DEE-91F9-405B-ADD1-F900A78A68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29" name="AutoShape 247">
          <a:extLst>
            <a:ext uri="{FF2B5EF4-FFF2-40B4-BE49-F238E27FC236}">
              <a16:creationId xmlns:a16="http://schemas.microsoft.com/office/drawing/2014/main" id="{683028D9-B631-4737-8AEE-5D6065E8C4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0" name="AutoShape 246">
          <a:extLst>
            <a:ext uri="{FF2B5EF4-FFF2-40B4-BE49-F238E27FC236}">
              <a16:creationId xmlns:a16="http://schemas.microsoft.com/office/drawing/2014/main" id="{79C715B2-9B4B-446D-A84D-6514A7A58A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1" name="AutoShape 245">
          <a:extLst>
            <a:ext uri="{FF2B5EF4-FFF2-40B4-BE49-F238E27FC236}">
              <a16:creationId xmlns:a16="http://schemas.microsoft.com/office/drawing/2014/main" id="{98CCAC66-88F9-49FA-92BA-F14D34BE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2" name="AutoShape 244">
          <a:extLst>
            <a:ext uri="{FF2B5EF4-FFF2-40B4-BE49-F238E27FC236}">
              <a16:creationId xmlns:a16="http://schemas.microsoft.com/office/drawing/2014/main" id="{AF5523EE-5ECD-4E3B-BDA6-BCE6CF71C4A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3" name="AutoShape 243">
          <a:extLst>
            <a:ext uri="{FF2B5EF4-FFF2-40B4-BE49-F238E27FC236}">
              <a16:creationId xmlns:a16="http://schemas.microsoft.com/office/drawing/2014/main" id="{0A866527-F54B-45F7-B195-253B6C53E7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4" name="AutoShape 242">
          <a:extLst>
            <a:ext uri="{FF2B5EF4-FFF2-40B4-BE49-F238E27FC236}">
              <a16:creationId xmlns:a16="http://schemas.microsoft.com/office/drawing/2014/main" id="{11ED40D8-755D-42DD-ADFE-5AAC0A3636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5" name="AutoShape 241">
          <a:extLst>
            <a:ext uri="{FF2B5EF4-FFF2-40B4-BE49-F238E27FC236}">
              <a16:creationId xmlns:a16="http://schemas.microsoft.com/office/drawing/2014/main" id="{96A21520-C80A-4948-9BEB-653E603450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6" name="AutoShape 240">
          <a:extLst>
            <a:ext uri="{FF2B5EF4-FFF2-40B4-BE49-F238E27FC236}">
              <a16:creationId xmlns:a16="http://schemas.microsoft.com/office/drawing/2014/main" id="{1AF3AC72-B7D5-4C92-8AB0-DCDB06D030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7" name="AutoShape 239">
          <a:extLst>
            <a:ext uri="{FF2B5EF4-FFF2-40B4-BE49-F238E27FC236}">
              <a16:creationId xmlns:a16="http://schemas.microsoft.com/office/drawing/2014/main" id="{152667AF-2B5A-4FB7-A068-3340F1DB60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8" name="AutoShape 238">
          <a:extLst>
            <a:ext uri="{FF2B5EF4-FFF2-40B4-BE49-F238E27FC236}">
              <a16:creationId xmlns:a16="http://schemas.microsoft.com/office/drawing/2014/main" id="{DDD6DA4C-B853-4473-9334-D11590FF90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39" name="AutoShape 237">
          <a:extLst>
            <a:ext uri="{FF2B5EF4-FFF2-40B4-BE49-F238E27FC236}">
              <a16:creationId xmlns:a16="http://schemas.microsoft.com/office/drawing/2014/main" id="{519689F1-A1BC-4BF6-B47B-115837EB59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0" name="AutoShape 236">
          <a:extLst>
            <a:ext uri="{FF2B5EF4-FFF2-40B4-BE49-F238E27FC236}">
              <a16:creationId xmlns:a16="http://schemas.microsoft.com/office/drawing/2014/main" id="{D09AE1AD-7A9D-4AC0-A8C2-60D254016F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1" name="AutoShape 235">
          <a:extLst>
            <a:ext uri="{FF2B5EF4-FFF2-40B4-BE49-F238E27FC236}">
              <a16:creationId xmlns:a16="http://schemas.microsoft.com/office/drawing/2014/main" id="{3C88EA83-506E-449F-8C3D-688E90CCF7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2" name="AutoShape 234">
          <a:extLst>
            <a:ext uri="{FF2B5EF4-FFF2-40B4-BE49-F238E27FC236}">
              <a16:creationId xmlns:a16="http://schemas.microsoft.com/office/drawing/2014/main" id="{6D5448A1-6018-4BC7-B8A2-2732729140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3" name="AutoShape 233">
          <a:extLst>
            <a:ext uri="{FF2B5EF4-FFF2-40B4-BE49-F238E27FC236}">
              <a16:creationId xmlns:a16="http://schemas.microsoft.com/office/drawing/2014/main" id="{E9FB2116-DD36-41F6-89F5-1A4B014012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4" name="AutoShape 232">
          <a:extLst>
            <a:ext uri="{FF2B5EF4-FFF2-40B4-BE49-F238E27FC236}">
              <a16:creationId xmlns:a16="http://schemas.microsoft.com/office/drawing/2014/main" id="{2122F7F2-AE4B-44EB-B5E7-EB8094E28EC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5" name="AutoShape 231">
          <a:extLst>
            <a:ext uri="{FF2B5EF4-FFF2-40B4-BE49-F238E27FC236}">
              <a16:creationId xmlns:a16="http://schemas.microsoft.com/office/drawing/2014/main" id="{C75A4889-6796-4B3A-940D-D6D92309CF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6" name="AutoShape 230">
          <a:extLst>
            <a:ext uri="{FF2B5EF4-FFF2-40B4-BE49-F238E27FC236}">
              <a16:creationId xmlns:a16="http://schemas.microsoft.com/office/drawing/2014/main" id="{F825BE02-6A61-460A-80C6-C83FC4BC7D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7" name="AutoShape 344">
          <a:extLst>
            <a:ext uri="{FF2B5EF4-FFF2-40B4-BE49-F238E27FC236}">
              <a16:creationId xmlns:a16="http://schemas.microsoft.com/office/drawing/2014/main" id="{1F60377A-CFBE-4A0E-BEE3-64D035A3C0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8" name="AutoShape 343">
          <a:extLst>
            <a:ext uri="{FF2B5EF4-FFF2-40B4-BE49-F238E27FC236}">
              <a16:creationId xmlns:a16="http://schemas.microsoft.com/office/drawing/2014/main" id="{CD432E61-F7C1-4044-B829-0BC365A366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49" name="AutoShape 342">
          <a:extLst>
            <a:ext uri="{FF2B5EF4-FFF2-40B4-BE49-F238E27FC236}">
              <a16:creationId xmlns:a16="http://schemas.microsoft.com/office/drawing/2014/main" id="{D966C119-8153-46A9-BFCA-6439139712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0" name="AutoShape 341">
          <a:extLst>
            <a:ext uri="{FF2B5EF4-FFF2-40B4-BE49-F238E27FC236}">
              <a16:creationId xmlns:a16="http://schemas.microsoft.com/office/drawing/2014/main" id="{B39004FD-53AF-4812-A547-593582F239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1" name="AutoShape 340">
          <a:extLst>
            <a:ext uri="{FF2B5EF4-FFF2-40B4-BE49-F238E27FC236}">
              <a16:creationId xmlns:a16="http://schemas.microsoft.com/office/drawing/2014/main" id="{07BDA070-ABCA-4CB7-A3A6-E0A35760A9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2" name="AutoShape 339">
          <a:extLst>
            <a:ext uri="{FF2B5EF4-FFF2-40B4-BE49-F238E27FC236}">
              <a16:creationId xmlns:a16="http://schemas.microsoft.com/office/drawing/2014/main" id="{271A6AE9-AF4E-4F07-94C5-0F86D42881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3" name="AutoShape 338">
          <a:extLst>
            <a:ext uri="{FF2B5EF4-FFF2-40B4-BE49-F238E27FC236}">
              <a16:creationId xmlns:a16="http://schemas.microsoft.com/office/drawing/2014/main" id="{65710C47-74AA-4FB7-A330-8ED7B337BA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4" name="AutoShape 337">
          <a:extLst>
            <a:ext uri="{FF2B5EF4-FFF2-40B4-BE49-F238E27FC236}">
              <a16:creationId xmlns:a16="http://schemas.microsoft.com/office/drawing/2014/main" id="{772A0512-3318-4224-83D0-1F9213A5C6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5" name="AutoShape 336">
          <a:extLst>
            <a:ext uri="{FF2B5EF4-FFF2-40B4-BE49-F238E27FC236}">
              <a16:creationId xmlns:a16="http://schemas.microsoft.com/office/drawing/2014/main" id="{A9570C19-B731-4062-AB9D-7A4494C97A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6" name="AutoShape 335">
          <a:extLst>
            <a:ext uri="{FF2B5EF4-FFF2-40B4-BE49-F238E27FC236}">
              <a16:creationId xmlns:a16="http://schemas.microsoft.com/office/drawing/2014/main" id="{0C376235-0FEC-406A-989E-74D8E777B3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7" name="AutoShape 334">
          <a:extLst>
            <a:ext uri="{FF2B5EF4-FFF2-40B4-BE49-F238E27FC236}">
              <a16:creationId xmlns:a16="http://schemas.microsoft.com/office/drawing/2014/main" id="{2E626F41-A1FA-4FC0-9279-815B222DFCF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8" name="AutoShape 333">
          <a:extLst>
            <a:ext uri="{FF2B5EF4-FFF2-40B4-BE49-F238E27FC236}">
              <a16:creationId xmlns:a16="http://schemas.microsoft.com/office/drawing/2014/main" id="{6C32C1AD-497A-4A46-A7D4-EF31D72B10F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59" name="AutoShape 332">
          <a:extLst>
            <a:ext uri="{FF2B5EF4-FFF2-40B4-BE49-F238E27FC236}">
              <a16:creationId xmlns:a16="http://schemas.microsoft.com/office/drawing/2014/main" id="{BAF1FEB2-01D0-4407-AF73-7886FDE875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0" name="AutoShape 331">
          <a:extLst>
            <a:ext uri="{FF2B5EF4-FFF2-40B4-BE49-F238E27FC236}">
              <a16:creationId xmlns:a16="http://schemas.microsoft.com/office/drawing/2014/main" id="{14FCEF3E-ADFC-425E-A45E-E7750B6AA9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1" name="AutoShape 330">
          <a:extLst>
            <a:ext uri="{FF2B5EF4-FFF2-40B4-BE49-F238E27FC236}">
              <a16:creationId xmlns:a16="http://schemas.microsoft.com/office/drawing/2014/main" id="{CB7844EF-03B9-4DA8-9077-A1B8F7B92A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2" name="AutoShape 329">
          <a:extLst>
            <a:ext uri="{FF2B5EF4-FFF2-40B4-BE49-F238E27FC236}">
              <a16:creationId xmlns:a16="http://schemas.microsoft.com/office/drawing/2014/main" id="{A523BE54-7AA0-4552-A719-D2258E9452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3" name="AutoShape 328">
          <a:extLst>
            <a:ext uri="{FF2B5EF4-FFF2-40B4-BE49-F238E27FC236}">
              <a16:creationId xmlns:a16="http://schemas.microsoft.com/office/drawing/2014/main" id="{5DF0DF1B-6B4D-4B32-AC27-5E0B83050F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4" name="AutoShape 327">
          <a:extLst>
            <a:ext uri="{FF2B5EF4-FFF2-40B4-BE49-F238E27FC236}">
              <a16:creationId xmlns:a16="http://schemas.microsoft.com/office/drawing/2014/main" id="{FFE71A51-9E11-43B4-B9AE-557DE87A84E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5" name="AutoShape 326">
          <a:extLst>
            <a:ext uri="{FF2B5EF4-FFF2-40B4-BE49-F238E27FC236}">
              <a16:creationId xmlns:a16="http://schemas.microsoft.com/office/drawing/2014/main" id="{E567F277-D00A-40C4-8831-EDBF7948C0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6" name="AutoShape 325">
          <a:extLst>
            <a:ext uri="{FF2B5EF4-FFF2-40B4-BE49-F238E27FC236}">
              <a16:creationId xmlns:a16="http://schemas.microsoft.com/office/drawing/2014/main" id="{16476291-8367-4B75-A554-4CCF4E0E638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7" name="AutoShape 324">
          <a:extLst>
            <a:ext uri="{FF2B5EF4-FFF2-40B4-BE49-F238E27FC236}">
              <a16:creationId xmlns:a16="http://schemas.microsoft.com/office/drawing/2014/main" id="{A5DF23AF-B6CD-4A69-BBBC-4897A4DC13C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8" name="AutoShape 323">
          <a:extLst>
            <a:ext uri="{FF2B5EF4-FFF2-40B4-BE49-F238E27FC236}">
              <a16:creationId xmlns:a16="http://schemas.microsoft.com/office/drawing/2014/main" id="{E9278735-07A8-4D1C-8636-DF2281973F4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69" name="AutoShape 322">
          <a:extLst>
            <a:ext uri="{FF2B5EF4-FFF2-40B4-BE49-F238E27FC236}">
              <a16:creationId xmlns:a16="http://schemas.microsoft.com/office/drawing/2014/main" id="{43C9E15F-142F-4374-90BD-A4984FEEFB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0" name="AutoShape 321">
          <a:extLst>
            <a:ext uri="{FF2B5EF4-FFF2-40B4-BE49-F238E27FC236}">
              <a16:creationId xmlns:a16="http://schemas.microsoft.com/office/drawing/2014/main" id="{17243E37-D311-4EB1-B25B-7DEA103116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1" name="AutoShape 320">
          <a:extLst>
            <a:ext uri="{FF2B5EF4-FFF2-40B4-BE49-F238E27FC236}">
              <a16:creationId xmlns:a16="http://schemas.microsoft.com/office/drawing/2014/main" id="{CBC74F95-7CD8-4B0B-B22F-BFA52CB656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2" name="AutoShape 319">
          <a:extLst>
            <a:ext uri="{FF2B5EF4-FFF2-40B4-BE49-F238E27FC236}">
              <a16:creationId xmlns:a16="http://schemas.microsoft.com/office/drawing/2014/main" id="{698CAABC-3351-43AF-870B-BA11D9FA40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3" name="AutoShape 318">
          <a:extLst>
            <a:ext uri="{FF2B5EF4-FFF2-40B4-BE49-F238E27FC236}">
              <a16:creationId xmlns:a16="http://schemas.microsoft.com/office/drawing/2014/main" id="{2BC7D9DA-8F92-47BF-BB77-19968CC0EA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4" name="AutoShape 317">
          <a:extLst>
            <a:ext uri="{FF2B5EF4-FFF2-40B4-BE49-F238E27FC236}">
              <a16:creationId xmlns:a16="http://schemas.microsoft.com/office/drawing/2014/main" id="{85150F94-E67E-4072-AAB4-F88690C2491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5" name="AutoShape 316">
          <a:extLst>
            <a:ext uri="{FF2B5EF4-FFF2-40B4-BE49-F238E27FC236}">
              <a16:creationId xmlns:a16="http://schemas.microsoft.com/office/drawing/2014/main" id="{2F596077-009F-4091-A16C-D3108C4839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6" name="AutoShape 315">
          <a:extLst>
            <a:ext uri="{FF2B5EF4-FFF2-40B4-BE49-F238E27FC236}">
              <a16:creationId xmlns:a16="http://schemas.microsoft.com/office/drawing/2014/main" id="{9512F2B6-FEC0-4B5B-86E4-269AA17169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7" name="AutoShape 314">
          <a:extLst>
            <a:ext uri="{FF2B5EF4-FFF2-40B4-BE49-F238E27FC236}">
              <a16:creationId xmlns:a16="http://schemas.microsoft.com/office/drawing/2014/main" id="{E91DDF86-C07A-4642-8EB0-56B696E548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8" name="AutoShape 313">
          <a:extLst>
            <a:ext uri="{FF2B5EF4-FFF2-40B4-BE49-F238E27FC236}">
              <a16:creationId xmlns:a16="http://schemas.microsoft.com/office/drawing/2014/main" id="{A841E732-FFB8-452A-8AB2-7F551CDE56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79" name="AutoShape 312">
          <a:extLst>
            <a:ext uri="{FF2B5EF4-FFF2-40B4-BE49-F238E27FC236}">
              <a16:creationId xmlns:a16="http://schemas.microsoft.com/office/drawing/2014/main" id="{D8F74D5B-E317-4007-81C0-F2FDAF9F45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0" name="AutoShape 311">
          <a:extLst>
            <a:ext uri="{FF2B5EF4-FFF2-40B4-BE49-F238E27FC236}">
              <a16:creationId xmlns:a16="http://schemas.microsoft.com/office/drawing/2014/main" id="{07C57EF9-1B5D-47F1-BA33-B4A6B3DBA2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1" name="AutoShape 310">
          <a:extLst>
            <a:ext uri="{FF2B5EF4-FFF2-40B4-BE49-F238E27FC236}">
              <a16:creationId xmlns:a16="http://schemas.microsoft.com/office/drawing/2014/main" id="{6CDABD12-9477-4191-BBF7-3369B05345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2" name="AutoShape 309">
          <a:extLst>
            <a:ext uri="{FF2B5EF4-FFF2-40B4-BE49-F238E27FC236}">
              <a16:creationId xmlns:a16="http://schemas.microsoft.com/office/drawing/2014/main" id="{F8221BA0-4ED5-4DC0-B097-0EC116CB78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3" name="AutoShape 308">
          <a:extLst>
            <a:ext uri="{FF2B5EF4-FFF2-40B4-BE49-F238E27FC236}">
              <a16:creationId xmlns:a16="http://schemas.microsoft.com/office/drawing/2014/main" id="{AEDA07B7-5130-41E2-886D-B7E575C477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4" name="AutoShape 307">
          <a:extLst>
            <a:ext uri="{FF2B5EF4-FFF2-40B4-BE49-F238E27FC236}">
              <a16:creationId xmlns:a16="http://schemas.microsoft.com/office/drawing/2014/main" id="{F2FEA3F0-8AAA-47FE-80D5-982DE8B7F3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5" name="AutoShape 306">
          <a:extLst>
            <a:ext uri="{FF2B5EF4-FFF2-40B4-BE49-F238E27FC236}">
              <a16:creationId xmlns:a16="http://schemas.microsoft.com/office/drawing/2014/main" id="{816FE7CB-7EB0-4DF5-A285-2BAAD00C32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6" name="AutoShape 305">
          <a:extLst>
            <a:ext uri="{FF2B5EF4-FFF2-40B4-BE49-F238E27FC236}">
              <a16:creationId xmlns:a16="http://schemas.microsoft.com/office/drawing/2014/main" id="{18EBD16A-3A4D-4A1A-A178-43C3B3467F6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7" name="AutoShape 304">
          <a:extLst>
            <a:ext uri="{FF2B5EF4-FFF2-40B4-BE49-F238E27FC236}">
              <a16:creationId xmlns:a16="http://schemas.microsoft.com/office/drawing/2014/main" id="{2FEBF808-D051-44A4-A031-E6752AA925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8" name="AutoShape 303">
          <a:extLst>
            <a:ext uri="{FF2B5EF4-FFF2-40B4-BE49-F238E27FC236}">
              <a16:creationId xmlns:a16="http://schemas.microsoft.com/office/drawing/2014/main" id="{7B5C538A-DF04-486B-8695-62FCD577334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89" name="AutoShape 302">
          <a:extLst>
            <a:ext uri="{FF2B5EF4-FFF2-40B4-BE49-F238E27FC236}">
              <a16:creationId xmlns:a16="http://schemas.microsoft.com/office/drawing/2014/main" id="{FE4F226C-EA70-49AE-AD65-B6391B3A0A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0" name="AutoShape 301">
          <a:extLst>
            <a:ext uri="{FF2B5EF4-FFF2-40B4-BE49-F238E27FC236}">
              <a16:creationId xmlns:a16="http://schemas.microsoft.com/office/drawing/2014/main" id="{FC788772-8F20-4224-AF0D-D9148BB1F0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1" name="AutoShape 300">
          <a:extLst>
            <a:ext uri="{FF2B5EF4-FFF2-40B4-BE49-F238E27FC236}">
              <a16:creationId xmlns:a16="http://schemas.microsoft.com/office/drawing/2014/main" id="{A6A11B3C-4624-43C4-91EF-79DE8E10EED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2" name="AutoShape 299">
          <a:extLst>
            <a:ext uri="{FF2B5EF4-FFF2-40B4-BE49-F238E27FC236}">
              <a16:creationId xmlns:a16="http://schemas.microsoft.com/office/drawing/2014/main" id="{0584B1E5-6872-4AC2-8A91-29F1983787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3" name="AutoShape 298">
          <a:extLst>
            <a:ext uri="{FF2B5EF4-FFF2-40B4-BE49-F238E27FC236}">
              <a16:creationId xmlns:a16="http://schemas.microsoft.com/office/drawing/2014/main" id="{49C90D39-A615-4464-A2B6-1BD5C5FDB8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4" name="AutoShape 297">
          <a:extLst>
            <a:ext uri="{FF2B5EF4-FFF2-40B4-BE49-F238E27FC236}">
              <a16:creationId xmlns:a16="http://schemas.microsoft.com/office/drawing/2014/main" id="{78010921-5655-4BB2-AD30-36210F7C18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5" name="AutoShape 296">
          <a:extLst>
            <a:ext uri="{FF2B5EF4-FFF2-40B4-BE49-F238E27FC236}">
              <a16:creationId xmlns:a16="http://schemas.microsoft.com/office/drawing/2014/main" id="{C11C544B-4E88-49EF-812A-D933907C57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6" name="AutoShape 295">
          <a:extLst>
            <a:ext uri="{FF2B5EF4-FFF2-40B4-BE49-F238E27FC236}">
              <a16:creationId xmlns:a16="http://schemas.microsoft.com/office/drawing/2014/main" id="{DAD1C8FC-D7F0-4FC5-AD75-6BA4A7E352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7" name="AutoShape 294">
          <a:extLst>
            <a:ext uri="{FF2B5EF4-FFF2-40B4-BE49-F238E27FC236}">
              <a16:creationId xmlns:a16="http://schemas.microsoft.com/office/drawing/2014/main" id="{035409CC-BBE0-4822-B21B-266E81F744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8" name="AutoShape 293">
          <a:extLst>
            <a:ext uri="{FF2B5EF4-FFF2-40B4-BE49-F238E27FC236}">
              <a16:creationId xmlns:a16="http://schemas.microsoft.com/office/drawing/2014/main" id="{D95F7D10-93C1-47BB-8D62-1008F218B5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199" name="AutoShape 292">
          <a:extLst>
            <a:ext uri="{FF2B5EF4-FFF2-40B4-BE49-F238E27FC236}">
              <a16:creationId xmlns:a16="http://schemas.microsoft.com/office/drawing/2014/main" id="{791E73C4-0990-48A5-AC17-162D6B6F4F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0" name="AutoShape 291">
          <a:extLst>
            <a:ext uri="{FF2B5EF4-FFF2-40B4-BE49-F238E27FC236}">
              <a16:creationId xmlns:a16="http://schemas.microsoft.com/office/drawing/2014/main" id="{8D648C21-7C4D-4B2B-AD40-F76F2EEAC92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1" name="AutoShape 290">
          <a:extLst>
            <a:ext uri="{FF2B5EF4-FFF2-40B4-BE49-F238E27FC236}">
              <a16:creationId xmlns:a16="http://schemas.microsoft.com/office/drawing/2014/main" id="{7AF1E92E-2607-4D52-BF95-BD4EC51253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2" name="AutoShape 289">
          <a:extLst>
            <a:ext uri="{FF2B5EF4-FFF2-40B4-BE49-F238E27FC236}">
              <a16:creationId xmlns:a16="http://schemas.microsoft.com/office/drawing/2014/main" id="{0C791933-26EE-4E2E-97DB-95F286DCA52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3" name="AutoShape 288">
          <a:extLst>
            <a:ext uri="{FF2B5EF4-FFF2-40B4-BE49-F238E27FC236}">
              <a16:creationId xmlns:a16="http://schemas.microsoft.com/office/drawing/2014/main" id="{566C2DAE-E929-4DE8-BE28-DEB1E4E037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4" name="AutoShape 287">
          <a:extLst>
            <a:ext uri="{FF2B5EF4-FFF2-40B4-BE49-F238E27FC236}">
              <a16:creationId xmlns:a16="http://schemas.microsoft.com/office/drawing/2014/main" id="{C37EF645-05C5-4B67-9DF5-58FBADD384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5" name="AutoShape 286">
          <a:extLst>
            <a:ext uri="{FF2B5EF4-FFF2-40B4-BE49-F238E27FC236}">
              <a16:creationId xmlns:a16="http://schemas.microsoft.com/office/drawing/2014/main" id="{A903AC73-2E85-4E42-9171-777019946C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6" name="AutoShape 285">
          <a:extLst>
            <a:ext uri="{FF2B5EF4-FFF2-40B4-BE49-F238E27FC236}">
              <a16:creationId xmlns:a16="http://schemas.microsoft.com/office/drawing/2014/main" id="{DD1BE4D9-F2C9-419A-9EF5-F588517291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7" name="AutoShape 284">
          <a:extLst>
            <a:ext uri="{FF2B5EF4-FFF2-40B4-BE49-F238E27FC236}">
              <a16:creationId xmlns:a16="http://schemas.microsoft.com/office/drawing/2014/main" id="{96BADE21-68BF-4D38-A38C-6D41C64AD6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8" name="AutoShape 283">
          <a:extLst>
            <a:ext uri="{FF2B5EF4-FFF2-40B4-BE49-F238E27FC236}">
              <a16:creationId xmlns:a16="http://schemas.microsoft.com/office/drawing/2014/main" id="{557A08ED-F9DC-4204-9E0F-EA0F4392D4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09" name="AutoShape 282">
          <a:extLst>
            <a:ext uri="{FF2B5EF4-FFF2-40B4-BE49-F238E27FC236}">
              <a16:creationId xmlns:a16="http://schemas.microsoft.com/office/drawing/2014/main" id="{7405BD8B-FA09-4539-82D6-F3CAC7C8DB5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0" name="AutoShape 281">
          <a:extLst>
            <a:ext uri="{FF2B5EF4-FFF2-40B4-BE49-F238E27FC236}">
              <a16:creationId xmlns:a16="http://schemas.microsoft.com/office/drawing/2014/main" id="{8C3A541D-3DF7-4C8B-9E9D-5E4E8F04E0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1" name="AutoShape 280">
          <a:extLst>
            <a:ext uri="{FF2B5EF4-FFF2-40B4-BE49-F238E27FC236}">
              <a16:creationId xmlns:a16="http://schemas.microsoft.com/office/drawing/2014/main" id="{AAC3292B-F2DB-464E-A83F-629D2896E2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2" name="AutoShape 279">
          <a:extLst>
            <a:ext uri="{FF2B5EF4-FFF2-40B4-BE49-F238E27FC236}">
              <a16:creationId xmlns:a16="http://schemas.microsoft.com/office/drawing/2014/main" id="{4A4C7F27-ED1D-472C-9081-63B418A801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3" name="AutoShape 278">
          <a:extLst>
            <a:ext uri="{FF2B5EF4-FFF2-40B4-BE49-F238E27FC236}">
              <a16:creationId xmlns:a16="http://schemas.microsoft.com/office/drawing/2014/main" id="{5A14E556-7A66-4CAA-A38D-6478FA52CC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4" name="AutoShape 277">
          <a:extLst>
            <a:ext uri="{FF2B5EF4-FFF2-40B4-BE49-F238E27FC236}">
              <a16:creationId xmlns:a16="http://schemas.microsoft.com/office/drawing/2014/main" id="{901DD800-2663-4320-9021-9871EAA9C7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5" name="AutoShape 276">
          <a:extLst>
            <a:ext uri="{FF2B5EF4-FFF2-40B4-BE49-F238E27FC236}">
              <a16:creationId xmlns:a16="http://schemas.microsoft.com/office/drawing/2014/main" id="{2E9D32DF-37E1-4361-9FBD-E2E5ABF61C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6" name="AutoShape 275">
          <a:extLst>
            <a:ext uri="{FF2B5EF4-FFF2-40B4-BE49-F238E27FC236}">
              <a16:creationId xmlns:a16="http://schemas.microsoft.com/office/drawing/2014/main" id="{7740ED24-6CD2-4F91-BEFD-E32A9F386A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7" name="AutoShape 274">
          <a:extLst>
            <a:ext uri="{FF2B5EF4-FFF2-40B4-BE49-F238E27FC236}">
              <a16:creationId xmlns:a16="http://schemas.microsoft.com/office/drawing/2014/main" id="{51EB2940-FC9C-441D-ACAC-CE76C2544E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8" name="AutoShape 273">
          <a:extLst>
            <a:ext uri="{FF2B5EF4-FFF2-40B4-BE49-F238E27FC236}">
              <a16:creationId xmlns:a16="http://schemas.microsoft.com/office/drawing/2014/main" id="{B0B7C1E0-20AF-4DAA-82C9-3E6B81FAAF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19" name="AutoShape 272">
          <a:extLst>
            <a:ext uri="{FF2B5EF4-FFF2-40B4-BE49-F238E27FC236}">
              <a16:creationId xmlns:a16="http://schemas.microsoft.com/office/drawing/2014/main" id="{9B3FA9B0-ED20-4147-834D-C74FA0F779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0" name="AutoShape 271">
          <a:extLst>
            <a:ext uri="{FF2B5EF4-FFF2-40B4-BE49-F238E27FC236}">
              <a16:creationId xmlns:a16="http://schemas.microsoft.com/office/drawing/2014/main" id="{CA102AA7-42AA-4690-83BF-2F8C273ED3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1" name="AutoShape 270">
          <a:extLst>
            <a:ext uri="{FF2B5EF4-FFF2-40B4-BE49-F238E27FC236}">
              <a16:creationId xmlns:a16="http://schemas.microsoft.com/office/drawing/2014/main" id="{24D031F7-2E57-494B-A84B-6304B430CE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2" name="AutoShape 269">
          <a:extLst>
            <a:ext uri="{FF2B5EF4-FFF2-40B4-BE49-F238E27FC236}">
              <a16:creationId xmlns:a16="http://schemas.microsoft.com/office/drawing/2014/main" id="{8BA6D8CE-0098-485F-BA1E-F29CE101DA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3" name="AutoShape 268">
          <a:extLst>
            <a:ext uri="{FF2B5EF4-FFF2-40B4-BE49-F238E27FC236}">
              <a16:creationId xmlns:a16="http://schemas.microsoft.com/office/drawing/2014/main" id="{500B9C39-9F6D-45D2-9D3A-6EC7C35B64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4" name="AutoShape 267">
          <a:extLst>
            <a:ext uri="{FF2B5EF4-FFF2-40B4-BE49-F238E27FC236}">
              <a16:creationId xmlns:a16="http://schemas.microsoft.com/office/drawing/2014/main" id="{094BC0C2-98D1-482E-A878-66CECBEE58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5" name="AutoShape 266">
          <a:extLst>
            <a:ext uri="{FF2B5EF4-FFF2-40B4-BE49-F238E27FC236}">
              <a16:creationId xmlns:a16="http://schemas.microsoft.com/office/drawing/2014/main" id="{6FBFB007-882F-46E2-B5A6-683FBEA5C2E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6" name="AutoShape 265">
          <a:extLst>
            <a:ext uri="{FF2B5EF4-FFF2-40B4-BE49-F238E27FC236}">
              <a16:creationId xmlns:a16="http://schemas.microsoft.com/office/drawing/2014/main" id="{4F02BCEB-952D-4317-B386-41C0C78031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7" name="AutoShape 264">
          <a:extLst>
            <a:ext uri="{FF2B5EF4-FFF2-40B4-BE49-F238E27FC236}">
              <a16:creationId xmlns:a16="http://schemas.microsoft.com/office/drawing/2014/main" id="{EE553C7F-806E-41FB-99FF-942E02CBAE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8" name="AutoShape 263">
          <a:extLst>
            <a:ext uri="{FF2B5EF4-FFF2-40B4-BE49-F238E27FC236}">
              <a16:creationId xmlns:a16="http://schemas.microsoft.com/office/drawing/2014/main" id="{8AEBA6A0-7B0F-4672-9727-B70F22FE5E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29" name="AutoShape 262">
          <a:extLst>
            <a:ext uri="{FF2B5EF4-FFF2-40B4-BE49-F238E27FC236}">
              <a16:creationId xmlns:a16="http://schemas.microsoft.com/office/drawing/2014/main" id="{E8A97075-7776-4832-A536-3AFB64588F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0" name="AutoShape 261">
          <a:extLst>
            <a:ext uri="{FF2B5EF4-FFF2-40B4-BE49-F238E27FC236}">
              <a16:creationId xmlns:a16="http://schemas.microsoft.com/office/drawing/2014/main" id="{C3300348-E378-43F5-A44E-A1780FF448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1" name="AutoShape 260">
          <a:extLst>
            <a:ext uri="{FF2B5EF4-FFF2-40B4-BE49-F238E27FC236}">
              <a16:creationId xmlns:a16="http://schemas.microsoft.com/office/drawing/2014/main" id="{5B987412-628A-4FF1-B1B0-3958B7DDEE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2" name="AutoShape 259">
          <a:extLst>
            <a:ext uri="{FF2B5EF4-FFF2-40B4-BE49-F238E27FC236}">
              <a16:creationId xmlns:a16="http://schemas.microsoft.com/office/drawing/2014/main" id="{D553CDE5-A611-4392-B9D8-A8D10656E7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3" name="AutoShape 258">
          <a:extLst>
            <a:ext uri="{FF2B5EF4-FFF2-40B4-BE49-F238E27FC236}">
              <a16:creationId xmlns:a16="http://schemas.microsoft.com/office/drawing/2014/main" id="{6E4605C0-CCFC-4582-84A3-6F55179FFC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4" name="AutoShape 257">
          <a:extLst>
            <a:ext uri="{FF2B5EF4-FFF2-40B4-BE49-F238E27FC236}">
              <a16:creationId xmlns:a16="http://schemas.microsoft.com/office/drawing/2014/main" id="{4445346A-4738-4EF1-8618-A91DC92B39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5" name="AutoShape 256">
          <a:extLst>
            <a:ext uri="{FF2B5EF4-FFF2-40B4-BE49-F238E27FC236}">
              <a16:creationId xmlns:a16="http://schemas.microsoft.com/office/drawing/2014/main" id="{076422C7-BF57-424F-B0FC-03480C7AC4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6" name="AutoShape 255">
          <a:extLst>
            <a:ext uri="{FF2B5EF4-FFF2-40B4-BE49-F238E27FC236}">
              <a16:creationId xmlns:a16="http://schemas.microsoft.com/office/drawing/2014/main" id="{6C611959-6D49-4933-B0F9-A28B7BD17D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7" name="AutoShape 254">
          <a:extLst>
            <a:ext uri="{FF2B5EF4-FFF2-40B4-BE49-F238E27FC236}">
              <a16:creationId xmlns:a16="http://schemas.microsoft.com/office/drawing/2014/main" id="{AC89D751-8683-4AAB-BDD7-A68033C54D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8" name="AutoShape 253">
          <a:extLst>
            <a:ext uri="{FF2B5EF4-FFF2-40B4-BE49-F238E27FC236}">
              <a16:creationId xmlns:a16="http://schemas.microsoft.com/office/drawing/2014/main" id="{0E23C144-EC22-4C70-AB39-B7154A07C6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39" name="AutoShape 252">
          <a:extLst>
            <a:ext uri="{FF2B5EF4-FFF2-40B4-BE49-F238E27FC236}">
              <a16:creationId xmlns:a16="http://schemas.microsoft.com/office/drawing/2014/main" id="{0D360F4C-081D-427A-A495-A4185D6622E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0" name="AutoShape 251">
          <a:extLst>
            <a:ext uri="{FF2B5EF4-FFF2-40B4-BE49-F238E27FC236}">
              <a16:creationId xmlns:a16="http://schemas.microsoft.com/office/drawing/2014/main" id="{AF8284FD-DF84-419D-95DD-7BF599876B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1" name="AutoShape 250">
          <a:extLst>
            <a:ext uri="{FF2B5EF4-FFF2-40B4-BE49-F238E27FC236}">
              <a16:creationId xmlns:a16="http://schemas.microsoft.com/office/drawing/2014/main" id="{C027C897-792C-4603-9DF8-FD77332EC3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2" name="AutoShape 249">
          <a:extLst>
            <a:ext uri="{FF2B5EF4-FFF2-40B4-BE49-F238E27FC236}">
              <a16:creationId xmlns:a16="http://schemas.microsoft.com/office/drawing/2014/main" id="{8EFAB15A-8BCD-4D21-A9DB-C2B88AD5BC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3" name="AutoShape 248">
          <a:extLst>
            <a:ext uri="{FF2B5EF4-FFF2-40B4-BE49-F238E27FC236}">
              <a16:creationId xmlns:a16="http://schemas.microsoft.com/office/drawing/2014/main" id="{D4A51C6F-CC2D-40E5-B2AC-C22D1F297B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4" name="AutoShape 247">
          <a:extLst>
            <a:ext uri="{FF2B5EF4-FFF2-40B4-BE49-F238E27FC236}">
              <a16:creationId xmlns:a16="http://schemas.microsoft.com/office/drawing/2014/main" id="{17F11540-5D73-47F7-ABE7-D2A6E04DF8F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5" name="AutoShape 246">
          <a:extLst>
            <a:ext uri="{FF2B5EF4-FFF2-40B4-BE49-F238E27FC236}">
              <a16:creationId xmlns:a16="http://schemas.microsoft.com/office/drawing/2014/main" id="{04B13C70-0A15-4CAD-9DE7-DAE35C7AD2B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6" name="AutoShape 245">
          <a:extLst>
            <a:ext uri="{FF2B5EF4-FFF2-40B4-BE49-F238E27FC236}">
              <a16:creationId xmlns:a16="http://schemas.microsoft.com/office/drawing/2014/main" id="{E73C41D4-AF3D-4940-803D-5059408BAC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7" name="AutoShape 244">
          <a:extLst>
            <a:ext uri="{FF2B5EF4-FFF2-40B4-BE49-F238E27FC236}">
              <a16:creationId xmlns:a16="http://schemas.microsoft.com/office/drawing/2014/main" id="{79A6D657-D11C-4F3D-B98D-6A3783E5DF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8" name="AutoShape 243">
          <a:extLst>
            <a:ext uri="{FF2B5EF4-FFF2-40B4-BE49-F238E27FC236}">
              <a16:creationId xmlns:a16="http://schemas.microsoft.com/office/drawing/2014/main" id="{C35EE8E0-6DF5-4DFB-A5E6-5FA6751B12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49" name="AutoShape 242">
          <a:extLst>
            <a:ext uri="{FF2B5EF4-FFF2-40B4-BE49-F238E27FC236}">
              <a16:creationId xmlns:a16="http://schemas.microsoft.com/office/drawing/2014/main" id="{17335C3B-534A-4EB7-80EA-482E408699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0" name="AutoShape 241">
          <a:extLst>
            <a:ext uri="{FF2B5EF4-FFF2-40B4-BE49-F238E27FC236}">
              <a16:creationId xmlns:a16="http://schemas.microsoft.com/office/drawing/2014/main" id="{5C6760A9-F7FD-4B4A-B4FC-CED2EEC900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1" name="AutoShape 240">
          <a:extLst>
            <a:ext uri="{FF2B5EF4-FFF2-40B4-BE49-F238E27FC236}">
              <a16:creationId xmlns:a16="http://schemas.microsoft.com/office/drawing/2014/main" id="{8CBCC798-DE17-4050-B9C2-447350159C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2" name="AutoShape 239">
          <a:extLst>
            <a:ext uri="{FF2B5EF4-FFF2-40B4-BE49-F238E27FC236}">
              <a16:creationId xmlns:a16="http://schemas.microsoft.com/office/drawing/2014/main" id="{26050777-AA01-4EC4-9524-A6A745946C9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3" name="AutoShape 238">
          <a:extLst>
            <a:ext uri="{FF2B5EF4-FFF2-40B4-BE49-F238E27FC236}">
              <a16:creationId xmlns:a16="http://schemas.microsoft.com/office/drawing/2014/main" id="{149992B0-48CC-4489-8307-3D13BBA2528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4" name="AutoShape 237">
          <a:extLst>
            <a:ext uri="{FF2B5EF4-FFF2-40B4-BE49-F238E27FC236}">
              <a16:creationId xmlns:a16="http://schemas.microsoft.com/office/drawing/2014/main" id="{885E6C54-44A5-4DD9-9AF0-29E4996253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5" name="AutoShape 236">
          <a:extLst>
            <a:ext uri="{FF2B5EF4-FFF2-40B4-BE49-F238E27FC236}">
              <a16:creationId xmlns:a16="http://schemas.microsoft.com/office/drawing/2014/main" id="{EE0B0A50-3E03-494C-978C-9F4268CA79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6" name="AutoShape 235">
          <a:extLst>
            <a:ext uri="{FF2B5EF4-FFF2-40B4-BE49-F238E27FC236}">
              <a16:creationId xmlns:a16="http://schemas.microsoft.com/office/drawing/2014/main" id="{51B3D16C-997B-4B30-8825-DD6D1D12C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7" name="AutoShape 234">
          <a:extLst>
            <a:ext uri="{FF2B5EF4-FFF2-40B4-BE49-F238E27FC236}">
              <a16:creationId xmlns:a16="http://schemas.microsoft.com/office/drawing/2014/main" id="{E2FAF10C-4E35-4858-8911-03C2E6FA8A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8" name="AutoShape 233">
          <a:extLst>
            <a:ext uri="{FF2B5EF4-FFF2-40B4-BE49-F238E27FC236}">
              <a16:creationId xmlns:a16="http://schemas.microsoft.com/office/drawing/2014/main" id="{0D0D6EEC-2101-4CBE-8F44-6044224605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59" name="AutoShape 232">
          <a:extLst>
            <a:ext uri="{FF2B5EF4-FFF2-40B4-BE49-F238E27FC236}">
              <a16:creationId xmlns:a16="http://schemas.microsoft.com/office/drawing/2014/main" id="{F26E0EB9-B4D0-4886-9A66-01A9E2139E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0" name="AutoShape 231">
          <a:extLst>
            <a:ext uri="{FF2B5EF4-FFF2-40B4-BE49-F238E27FC236}">
              <a16:creationId xmlns:a16="http://schemas.microsoft.com/office/drawing/2014/main" id="{A09698FF-855B-48FC-9CCF-A8CE6E95BF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1" name="AutoShape 230">
          <a:extLst>
            <a:ext uri="{FF2B5EF4-FFF2-40B4-BE49-F238E27FC236}">
              <a16:creationId xmlns:a16="http://schemas.microsoft.com/office/drawing/2014/main" id="{8AE5D7F6-F71C-46C4-A484-711362CFE8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2" name="AutoShape 344">
          <a:extLst>
            <a:ext uri="{FF2B5EF4-FFF2-40B4-BE49-F238E27FC236}">
              <a16:creationId xmlns:a16="http://schemas.microsoft.com/office/drawing/2014/main" id="{D1116BED-D447-47B2-92BF-FD5FF8887E4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3" name="AutoShape 343">
          <a:extLst>
            <a:ext uri="{FF2B5EF4-FFF2-40B4-BE49-F238E27FC236}">
              <a16:creationId xmlns:a16="http://schemas.microsoft.com/office/drawing/2014/main" id="{801F4A99-649B-4068-8498-D96263B39A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4" name="AutoShape 342">
          <a:extLst>
            <a:ext uri="{FF2B5EF4-FFF2-40B4-BE49-F238E27FC236}">
              <a16:creationId xmlns:a16="http://schemas.microsoft.com/office/drawing/2014/main" id="{5C8C7BD1-04B6-454C-AC28-7FBA12F4AD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5" name="AutoShape 341">
          <a:extLst>
            <a:ext uri="{FF2B5EF4-FFF2-40B4-BE49-F238E27FC236}">
              <a16:creationId xmlns:a16="http://schemas.microsoft.com/office/drawing/2014/main" id="{9CE0B730-C00D-4CDE-95D1-643709CF3A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6" name="AutoShape 340">
          <a:extLst>
            <a:ext uri="{FF2B5EF4-FFF2-40B4-BE49-F238E27FC236}">
              <a16:creationId xmlns:a16="http://schemas.microsoft.com/office/drawing/2014/main" id="{993B1FF7-6D66-4659-8A90-91A43781E2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7" name="AutoShape 339">
          <a:extLst>
            <a:ext uri="{FF2B5EF4-FFF2-40B4-BE49-F238E27FC236}">
              <a16:creationId xmlns:a16="http://schemas.microsoft.com/office/drawing/2014/main" id="{55509267-FEC8-4E9E-BCEA-3FB5EBD1D37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8" name="AutoShape 338">
          <a:extLst>
            <a:ext uri="{FF2B5EF4-FFF2-40B4-BE49-F238E27FC236}">
              <a16:creationId xmlns:a16="http://schemas.microsoft.com/office/drawing/2014/main" id="{E635621D-D21A-4736-9DED-39BEF60B71C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69" name="AutoShape 337">
          <a:extLst>
            <a:ext uri="{FF2B5EF4-FFF2-40B4-BE49-F238E27FC236}">
              <a16:creationId xmlns:a16="http://schemas.microsoft.com/office/drawing/2014/main" id="{9F5863C0-8E0D-4ABA-8611-A259203037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0" name="AutoShape 336">
          <a:extLst>
            <a:ext uri="{FF2B5EF4-FFF2-40B4-BE49-F238E27FC236}">
              <a16:creationId xmlns:a16="http://schemas.microsoft.com/office/drawing/2014/main" id="{A59B7FE0-1780-4B3B-87E7-60FC868088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1" name="AutoShape 335">
          <a:extLst>
            <a:ext uri="{FF2B5EF4-FFF2-40B4-BE49-F238E27FC236}">
              <a16:creationId xmlns:a16="http://schemas.microsoft.com/office/drawing/2014/main" id="{38109CF5-DA16-4969-9929-9616666A6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2" name="AutoShape 334">
          <a:extLst>
            <a:ext uri="{FF2B5EF4-FFF2-40B4-BE49-F238E27FC236}">
              <a16:creationId xmlns:a16="http://schemas.microsoft.com/office/drawing/2014/main" id="{FDD994C9-07CA-46C8-B475-DD61F9C299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3" name="AutoShape 333">
          <a:extLst>
            <a:ext uri="{FF2B5EF4-FFF2-40B4-BE49-F238E27FC236}">
              <a16:creationId xmlns:a16="http://schemas.microsoft.com/office/drawing/2014/main" id="{1EE2BFA3-BA81-450E-BF8A-B5BA389BB7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4" name="AutoShape 332">
          <a:extLst>
            <a:ext uri="{FF2B5EF4-FFF2-40B4-BE49-F238E27FC236}">
              <a16:creationId xmlns:a16="http://schemas.microsoft.com/office/drawing/2014/main" id="{B00FF256-472F-49FA-94E4-DAB405289F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5" name="AutoShape 331">
          <a:extLst>
            <a:ext uri="{FF2B5EF4-FFF2-40B4-BE49-F238E27FC236}">
              <a16:creationId xmlns:a16="http://schemas.microsoft.com/office/drawing/2014/main" id="{4F83FB50-2F98-4F76-BA7E-07E408857A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6" name="AutoShape 330">
          <a:extLst>
            <a:ext uri="{FF2B5EF4-FFF2-40B4-BE49-F238E27FC236}">
              <a16:creationId xmlns:a16="http://schemas.microsoft.com/office/drawing/2014/main" id="{C8E6F300-7F0C-4275-9F48-B8D57EAC35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7" name="AutoShape 329">
          <a:extLst>
            <a:ext uri="{FF2B5EF4-FFF2-40B4-BE49-F238E27FC236}">
              <a16:creationId xmlns:a16="http://schemas.microsoft.com/office/drawing/2014/main" id="{8156E7FA-52F0-4F47-A5F8-68050BFD03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8" name="AutoShape 328">
          <a:extLst>
            <a:ext uri="{FF2B5EF4-FFF2-40B4-BE49-F238E27FC236}">
              <a16:creationId xmlns:a16="http://schemas.microsoft.com/office/drawing/2014/main" id="{50040B5F-FC2B-486A-8B08-14B492895D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79" name="AutoShape 327">
          <a:extLst>
            <a:ext uri="{FF2B5EF4-FFF2-40B4-BE49-F238E27FC236}">
              <a16:creationId xmlns:a16="http://schemas.microsoft.com/office/drawing/2014/main" id="{0A98616A-9524-42D1-9B0F-57BE405A93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0" name="AutoShape 326">
          <a:extLst>
            <a:ext uri="{FF2B5EF4-FFF2-40B4-BE49-F238E27FC236}">
              <a16:creationId xmlns:a16="http://schemas.microsoft.com/office/drawing/2014/main" id="{C4B20E3A-A6EE-4C59-A003-22F244023E9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1" name="AutoShape 325">
          <a:extLst>
            <a:ext uri="{FF2B5EF4-FFF2-40B4-BE49-F238E27FC236}">
              <a16:creationId xmlns:a16="http://schemas.microsoft.com/office/drawing/2014/main" id="{0E846CF1-A93F-4F49-9D02-B59BB257FA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2" name="AutoShape 324">
          <a:extLst>
            <a:ext uri="{FF2B5EF4-FFF2-40B4-BE49-F238E27FC236}">
              <a16:creationId xmlns:a16="http://schemas.microsoft.com/office/drawing/2014/main" id="{D0CD0427-7F27-40AA-A997-BC5C72D5EF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3" name="AutoShape 323">
          <a:extLst>
            <a:ext uri="{FF2B5EF4-FFF2-40B4-BE49-F238E27FC236}">
              <a16:creationId xmlns:a16="http://schemas.microsoft.com/office/drawing/2014/main" id="{3CB29AB2-E5CC-4871-8A73-7A35C92AF4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4" name="AutoShape 322">
          <a:extLst>
            <a:ext uri="{FF2B5EF4-FFF2-40B4-BE49-F238E27FC236}">
              <a16:creationId xmlns:a16="http://schemas.microsoft.com/office/drawing/2014/main" id="{FCC640E5-648A-49A1-AE63-941CA6880A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5" name="AutoShape 321">
          <a:extLst>
            <a:ext uri="{FF2B5EF4-FFF2-40B4-BE49-F238E27FC236}">
              <a16:creationId xmlns:a16="http://schemas.microsoft.com/office/drawing/2014/main" id="{4E7FF38F-23DE-453A-8068-4D5F082908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6" name="AutoShape 320">
          <a:extLst>
            <a:ext uri="{FF2B5EF4-FFF2-40B4-BE49-F238E27FC236}">
              <a16:creationId xmlns:a16="http://schemas.microsoft.com/office/drawing/2014/main" id="{3FF1536F-B2EF-4D8B-9832-16BBE01AF2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7" name="AutoShape 319">
          <a:extLst>
            <a:ext uri="{FF2B5EF4-FFF2-40B4-BE49-F238E27FC236}">
              <a16:creationId xmlns:a16="http://schemas.microsoft.com/office/drawing/2014/main" id="{9E45C8A5-4E19-45BF-A609-9FF75B23C8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8" name="AutoShape 318">
          <a:extLst>
            <a:ext uri="{FF2B5EF4-FFF2-40B4-BE49-F238E27FC236}">
              <a16:creationId xmlns:a16="http://schemas.microsoft.com/office/drawing/2014/main" id="{B0F7F707-E707-4072-BF9D-0E242C6B65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89" name="AutoShape 317">
          <a:extLst>
            <a:ext uri="{FF2B5EF4-FFF2-40B4-BE49-F238E27FC236}">
              <a16:creationId xmlns:a16="http://schemas.microsoft.com/office/drawing/2014/main" id="{8628F8D7-98A6-4495-B3CB-07AFD7F232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0" name="AutoShape 316">
          <a:extLst>
            <a:ext uri="{FF2B5EF4-FFF2-40B4-BE49-F238E27FC236}">
              <a16:creationId xmlns:a16="http://schemas.microsoft.com/office/drawing/2014/main" id="{0ED8D1A7-C0B3-4B61-81A4-796CD77492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1" name="AutoShape 315">
          <a:extLst>
            <a:ext uri="{FF2B5EF4-FFF2-40B4-BE49-F238E27FC236}">
              <a16:creationId xmlns:a16="http://schemas.microsoft.com/office/drawing/2014/main" id="{555090E3-B85E-4D1A-9EF0-47DDBA1E94C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2" name="AutoShape 314">
          <a:extLst>
            <a:ext uri="{FF2B5EF4-FFF2-40B4-BE49-F238E27FC236}">
              <a16:creationId xmlns:a16="http://schemas.microsoft.com/office/drawing/2014/main" id="{F5586DAA-32BC-46B2-83A5-DEDA7E120C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3" name="AutoShape 313">
          <a:extLst>
            <a:ext uri="{FF2B5EF4-FFF2-40B4-BE49-F238E27FC236}">
              <a16:creationId xmlns:a16="http://schemas.microsoft.com/office/drawing/2014/main" id="{1567A7EA-6AF5-4454-B347-5D215EDB95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4" name="AutoShape 312">
          <a:extLst>
            <a:ext uri="{FF2B5EF4-FFF2-40B4-BE49-F238E27FC236}">
              <a16:creationId xmlns:a16="http://schemas.microsoft.com/office/drawing/2014/main" id="{1BD9B524-ED9D-4338-8EC8-21044D40291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5" name="AutoShape 311">
          <a:extLst>
            <a:ext uri="{FF2B5EF4-FFF2-40B4-BE49-F238E27FC236}">
              <a16:creationId xmlns:a16="http://schemas.microsoft.com/office/drawing/2014/main" id="{4CDE852A-C102-452B-8A7E-3DF6943914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6" name="AutoShape 310">
          <a:extLst>
            <a:ext uri="{FF2B5EF4-FFF2-40B4-BE49-F238E27FC236}">
              <a16:creationId xmlns:a16="http://schemas.microsoft.com/office/drawing/2014/main" id="{A4AC8580-EBB3-46A5-80D1-755A28B9C1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7" name="AutoShape 309">
          <a:extLst>
            <a:ext uri="{FF2B5EF4-FFF2-40B4-BE49-F238E27FC236}">
              <a16:creationId xmlns:a16="http://schemas.microsoft.com/office/drawing/2014/main" id="{6674EACB-9C61-485E-BDC4-A950D625BA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8" name="AutoShape 308">
          <a:extLst>
            <a:ext uri="{FF2B5EF4-FFF2-40B4-BE49-F238E27FC236}">
              <a16:creationId xmlns:a16="http://schemas.microsoft.com/office/drawing/2014/main" id="{EB8F60F7-0A02-4152-89F9-4BBAE74988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299" name="AutoShape 307">
          <a:extLst>
            <a:ext uri="{FF2B5EF4-FFF2-40B4-BE49-F238E27FC236}">
              <a16:creationId xmlns:a16="http://schemas.microsoft.com/office/drawing/2014/main" id="{0EEBC3AB-DCAA-403D-A92A-40CD7341F7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0" name="AutoShape 306">
          <a:extLst>
            <a:ext uri="{FF2B5EF4-FFF2-40B4-BE49-F238E27FC236}">
              <a16:creationId xmlns:a16="http://schemas.microsoft.com/office/drawing/2014/main" id="{5192D678-680F-4D54-8986-B417E95810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1" name="AutoShape 305">
          <a:extLst>
            <a:ext uri="{FF2B5EF4-FFF2-40B4-BE49-F238E27FC236}">
              <a16:creationId xmlns:a16="http://schemas.microsoft.com/office/drawing/2014/main" id="{02A64B97-816E-42AB-BC0E-E5F6CCE3E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2" name="AutoShape 304">
          <a:extLst>
            <a:ext uri="{FF2B5EF4-FFF2-40B4-BE49-F238E27FC236}">
              <a16:creationId xmlns:a16="http://schemas.microsoft.com/office/drawing/2014/main" id="{35263C8B-07A8-4DDF-83AC-07F2CC1EC5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3" name="AutoShape 303">
          <a:extLst>
            <a:ext uri="{FF2B5EF4-FFF2-40B4-BE49-F238E27FC236}">
              <a16:creationId xmlns:a16="http://schemas.microsoft.com/office/drawing/2014/main" id="{5CA3707D-B872-491E-9613-5862707C4E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4" name="AutoShape 302">
          <a:extLst>
            <a:ext uri="{FF2B5EF4-FFF2-40B4-BE49-F238E27FC236}">
              <a16:creationId xmlns:a16="http://schemas.microsoft.com/office/drawing/2014/main" id="{F89ECE9A-EDD0-45DE-836C-50CE1D005A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5" name="AutoShape 301">
          <a:extLst>
            <a:ext uri="{FF2B5EF4-FFF2-40B4-BE49-F238E27FC236}">
              <a16:creationId xmlns:a16="http://schemas.microsoft.com/office/drawing/2014/main" id="{6B8F7B72-2F40-4825-979F-969C850D5E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6" name="AutoShape 300">
          <a:extLst>
            <a:ext uri="{FF2B5EF4-FFF2-40B4-BE49-F238E27FC236}">
              <a16:creationId xmlns:a16="http://schemas.microsoft.com/office/drawing/2014/main" id="{A4B5B1E3-164F-4982-BC79-BCA1CA13C2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7" name="AutoShape 299">
          <a:extLst>
            <a:ext uri="{FF2B5EF4-FFF2-40B4-BE49-F238E27FC236}">
              <a16:creationId xmlns:a16="http://schemas.microsoft.com/office/drawing/2014/main" id="{4ED7B17D-DF33-407F-95E6-752C7ECE1E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8" name="AutoShape 298">
          <a:extLst>
            <a:ext uri="{FF2B5EF4-FFF2-40B4-BE49-F238E27FC236}">
              <a16:creationId xmlns:a16="http://schemas.microsoft.com/office/drawing/2014/main" id="{A77E14CC-39BF-40ED-8C11-BBF6768607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09" name="AutoShape 297">
          <a:extLst>
            <a:ext uri="{FF2B5EF4-FFF2-40B4-BE49-F238E27FC236}">
              <a16:creationId xmlns:a16="http://schemas.microsoft.com/office/drawing/2014/main" id="{A5E1FADE-E9D9-40DF-84F7-DA8526C051A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0" name="AutoShape 296">
          <a:extLst>
            <a:ext uri="{FF2B5EF4-FFF2-40B4-BE49-F238E27FC236}">
              <a16:creationId xmlns:a16="http://schemas.microsoft.com/office/drawing/2014/main" id="{1044DC8B-DBE8-4EC1-BB23-854DF9FB64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1" name="AutoShape 295">
          <a:extLst>
            <a:ext uri="{FF2B5EF4-FFF2-40B4-BE49-F238E27FC236}">
              <a16:creationId xmlns:a16="http://schemas.microsoft.com/office/drawing/2014/main" id="{2FAD5E20-D81A-402C-A4E4-6730D65282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2" name="AutoShape 294">
          <a:extLst>
            <a:ext uri="{FF2B5EF4-FFF2-40B4-BE49-F238E27FC236}">
              <a16:creationId xmlns:a16="http://schemas.microsoft.com/office/drawing/2014/main" id="{7557A5CD-55DE-4767-A27F-3C6619921E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3" name="AutoShape 293">
          <a:extLst>
            <a:ext uri="{FF2B5EF4-FFF2-40B4-BE49-F238E27FC236}">
              <a16:creationId xmlns:a16="http://schemas.microsoft.com/office/drawing/2014/main" id="{0CC99775-DE93-4553-947A-00B1F911B9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4" name="AutoShape 292">
          <a:extLst>
            <a:ext uri="{FF2B5EF4-FFF2-40B4-BE49-F238E27FC236}">
              <a16:creationId xmlns:a16="http://schemas.microsoft.com/office/drawing/2014/main" id="{4378B852-3F1C-4C3A-A232-E9E5D54D45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5" name="AutoShape 291">
          <a:extLst>
            <a:ext uri="{FF2B5EF4-FFF2-40B4-BE49-F238E27FC236}">
              <a16:creationId xmlns:a16="http://schemas.microsoft.com/office/drawing/2014/main" id="{76BB19E4-1E82-4459-8C59-357B3B54E3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6" name="AutoShape 290">
          <a:extLst>
            <a:ext uri="{FF2B5EF4-FFF2-40B4-BE49-F238E27FC236}">
              <a16:creationId xmlns:a16="http://schemas.microsoft.com/office/drawing/2014/main" id="{C8D30A60-A3F1-4752-85E6-96248159286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7" name="AutoShape 289">
          <a:extLst>
            <a:ext uri="{FF2B5EF4-FFF2-40B4-BE49-F238E27FC236}">
              <a16:creationId xmlns:a16="http://schemas.microsoft.com/office/drawing/2014/main" id="{8C7B79B7-8BCD-4B1A-BBCC-837439E8E0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8" name="AutoShape 288">
          <a:extLst>
            <a:ext uri="{FF2B5EF4-FFF2-40B4-BE49-F238E27FC236}">
              <a16:creationId xmlns:a16="http://schemas.microsoft.com/office/drawing/2014/main" id="{E63FAFE6-A0D5-43EA-9B47-CF080989E6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19" name="AutoShape 287">
          <a:extLst>
            <a:ext uri="{FF2B5EF4-FFF2-40B4-BE49-F238E27FC236}">
              <a16:creationId xmlns:a16="http://schemas.microsoft.com/office/drawing/2014/main" id="{5B92F15B-C061-4B66-AB89-D4CFC3C623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0" name="AutoShape 286">
          <a:extLst>
            <a:ext uri="{FF2B5EF4-FFF2-40B4-BE49-F238E27FC236}">
              <a16:creationId xmlns:a16="http://schemas.microsoft.com/office/drawing/2014/main" id="{EFB9D409-55C2-4899-A82E-BE1E20A01C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1" name="AutoShape 285">
          <a:extLst>
            <a:ext uri="{FF2B5EF4-FFF2-40B4-BE49-F238E27FC236}">
              <a16:creationId xmlns:a16="http://schemas.microsoft.com/office/drawing/2014/main" id="{5CC43210-DD0C-4142-BC10-024CB8F72F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2" name="AutoShape 284">
          <a:extLst>
            <a:ext uri="{FF2B5EF4-FFF2-40B4-BE49-F238E27FC236}">
              <a16:creationId xmlns:a16="http://schemas.microsoft.com/office/drawing/2014/main" id="{DDB8C29F-59BA-476E-805C-E7868FED1DD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3" name="AutoShape 283">
          <a:extLst>
            <a:ext uri="{FF2B5EF4-FFF2-40B4-BE49-F238E27FC236}">
              <a16:creationId xmlns:a16="http://schemas.microsoft.com/office/drawing/2014/main" id="{B93EBACB-0C3B-4C61-A5F0-1EBDD6A76E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4" name="AutoShape 282">
          <a:extLst>
            <a:ext uri="{FF2B5EF4-FFF2-40B4-BE49-F238E27FC236}">
              <a16:creationId xmlns:a16="http://schemas.microsoft.com/office/drawing/2014/main" id="{B3113462-5552-44DB-828F-0D21EADC7C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5" name="AutoShape 281">
          <a:extLst>
            <a:ext uri="{FF2B5EF4-FFF2-40B4-BE49-F238E27FC236}">
              <a16:creationId xmlns:a16="http://schemas.microsoft.com/office/drawing/2014/main" id="{D519A72A-7E19-45E7-B5A3-59E3FE1EF2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6" name="AutoShape 280">
          <a:extLst>
            <a:ext uri="{FF2B5EF4-FFF2-40B4-BE49-F238E27FC236}">
              <a16:creationId xmlns:a16="http://schemas.microsoft.com/office/drawing/2014/main" id="{DD3A69BB-55CB-443A-BDF3-D70AC351DF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7" name="AutoShape 279">
          <a:extLst>
            <a:ext uri="{FF2B5EF4-FFF2-40B4-BE49-F238E27FC236}">
              <a16:creationId xmlns:a16="http://schemas.microsoft.com/office/drawing/2014/main" id="{DD338D5A-1113-46A4-9E0F-38E2E04C1E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8" name="AutoShape 278">
          <a:extLst>
            <a:ext uri="{FF2B5EF4-FFF2-40B4-BE49-F238E27FC236}">
              <a16:creationId xmlns:a16="http://schemas.microsoft.com/office/drawing/2014/main" id="{B0466563-8E65-466C-9681-682C19C19B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29" name="AutoShape 277">
          <a:extLst>
            <a:ext uri="{FF2B5EF4-FFF2-40B4-BE49-F238E27FC236}">
              <a16:creationId xmlns:a16="http://schemas.microsoft.com/office/drawing/2014/main" id="{A1B94119-1215-40EC-9590-7F441B76EF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0" name="AutoShape 276">
          <a:extLst>
            <a:ext uri="{FF2B5EF4-FFF2-40B4-BE49-F238E27FC236}">
              <a16:creationId xmlns:a16="http://schemas.microsoft.com/office/drawing/2014/main" id="{179DAA81-B405-4D01-84AC-A02CA33988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1" name="AutoShape 275">
          <a:extLst>
            <a:ext uri="{FF2B5EF4-FFF2-40B4-BE49-F238E27FC236}">
              <a16:creationId xmlns:a16="http://schemas.microsoft.com/office/drawing/2014/main" id="{CADB7FE2-0E98-4F35-A600-3DB2A52A1A1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2" name="AutoShape 274">
          <a:extLst>
            <a:ext uri="{FF2B5EF4-FFF2-40B4-BE49-F238E27FC236}">
              <a16:creationId xmlns:a16="http://schemas.microsoft.com/office/drawing/2014/main" id="{2800E9B0-5BE5-45D9-9D8A-866074568D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3" name="AutoShape 273">
          <a:extLst>
            <a:ext uri="{FF2B5EF4-FFF2-40B4-BE49-F238E27FC236}">
              <a16:creationId xmlns:a16="http://schemas.microsoft.com/office/drawing/2014/main" id="{2FED1B07-9BF4-411D-998F-B3B7305FF3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4" name="AutoShape 272">
          <a:extLst>
            <a:ext uri="{FF2B5EF4-FFF2-40B4-BE49-F238E27FC236}">
              <a16:creationId xmlns:a16="http://schemas.microsoft.com/office/drawing/2014/main" id="{3E577112-161E-416B-9855-441581683B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5" name="AutoShape 271">
          <a:extLst>
            <a:ext uri="{FF2B5EF4-FFF2-40B4-BE49-F238E27FC236}">
              <a16:creationId xmlns:a16="http://schemas.microsoft.com/office/drawing/2014/main" id="{8AABC2E8-54DE-4B94-B98B-2078EA9EA0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6" name="AutoShape 270">
          <a:extLst>
            <a:ext uri="{FF2B5EF4-FFF2-40B4-BE49-F238E27FC236}">
              <a16:creationId xmlns:a16="http://schemas.microsoft.com/office/drawing/2014/main" id="{D1F3C933-8077-4CB9-BA9D-F0AD1A9AFF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7" name="AutoShape 269">
          <a:extLst>
            <a:ext uri="{FF2B5EF4-FFF2-40B4-BE49-F238E27FC236}">
              <a16:creationId xmlns:a16="http://schemas.microsoft.com/office/drawing/2014/main" id="{A8D0249D-C114-4735-9399-B842088F9E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8" name="AutoShape 268">
          <a:extLst>
            <a:ext uri="{FF2B5EF4-FFF2-40B4-BE49-F238E27FC236}">
              <a16:creationId xmlns:a16="http://schemas.microsoft.com/office/drawing/2014/main" id="{2E376FDD-C6E5-4FA6-ABDB-1E5171978C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39" name="AutoShape 267">
          <a:extLst>
            <a:ext uri="{FF2B5EF4-FFF2-40B4-BE49-F238E27FC236}">
              <a16:creationId xmlns:a16="http://schemas.microsoft.com/office/drawing/2014/main" id="{197FE458-0583-4F9C-AA42-CE50142F47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0" name="AutoShape 266">
          <a:extLst>
            <a:ext uri="{FF2B5EF4-FFF2-40B4-BE49-F238E27FC236}">
              <a16:creationId xmlns:a16="http://schemas.microsoft.com/office/drawing/2014/main" id="{8934BECA-AB90-4D1E-972B-A801904600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1" name="AutoShape 265">
          <a:extLst>
            <a:ext uri="{FF2B5EF4-FFF2-40B4-BE49-F238E27FC236}">
              <a16:creationId xmlns:a16="http://schemas.microsoft.com/office/drawing/2014/main" id="{F61D916E-3DD5-4791-9F88-06ABFF7105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2" name="AutoShape 264">
          <a:extLst>
            <a:ext uri="{FF2B5EF4-FFF2-40B4-BE49-F238E27FC236}">
              <a16:creationId xmlns:a16="http://schemas.microsoft.com/office/drawing/2014/main" id="{178ADEFD-5F11-4F17-9B3E-E0F255759BA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3" name="AutoShape 263">
          <a:extLst>
            <a:ext uri="{FF2B5EF4-FFF2-40B4-BE49-F238E27FC236}">
              <a16:creationId xmlns:a16="http://schemas.microsoft.com/office/drawing/2014/main" id="{C8D209E5-17A6-4FDA-A81D-8DD1B00461C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4" name="AutoShape 262">
          <a:extLst>
            <a:ext uri="{FF2B5EF4-FFF2-40B4-BE49-F238E27FC236}">
              <a16:creationId xmlns:a16="http://schemas.microsoft.com/office/drawing/2014/main" id="{D2D296B9-6ED8-4564-9815-7550663203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5" name="AutoShape 261">
          <a:extLst>
            <a:ext uri="{FF2B5EF4-FFF2-40B4-BE49-F238E27FC236}">
              <a16:creationId xmlns:a16="http://schemas.microsoft.com/office/drawing/2014/main" id="{E26756D9-9881-43C3-8588-EFFF9DED64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6" name="AutoShape 260">
          <a:extLst>
            <a:ext uri="{FF2B5EF4-FFF2-40B4-BE49-F238E27FC236}">
              <a16:creationId xmlns:a16="http://schemas.microsoft.com/office/drawing/2014/main" id="{0E1ED498-AF2C-40AB-BA0A-8C1060C53F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7" name="AutoShape 259">
          <a:extLst>
            <a:ext uri="{FF2B5EF4-FFF2-40B4-BE49-F238E27FC236}">
              <a16:creationId xmlns:a16="http://schemas.microsoft.com/office/drawing/2014/main" id="{09070BD9-8495-4595-9C6F-23953735A3E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8" name="AutoShape 258">
          <a:extLst>
            <a:ext uri="{FF2B5EF4-FFF2-40B4-BE49-F238E27FC236}">
              <a16:creationId xmlns:a16="http://schemas.microsoft.com/office/drawing/2014/main" id="{1591E715-483C-4F92-92AE-E1DB6CD96B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49" name="AutoShape 257">
          <a:extLst>
            <a:ext uri="{FF2B5EF4-FFF2-40B4-BE49-F238E27FC236}">
              <a16:creationId xmlns:a16="http://schemas.microsoft.com/office/drawing/2014/main" id="{DBCAEB5A-189D-4F67-A7B9-C10E304FF8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0" name="AutoShape 256">
          <a:extLst>
            <a:ext uri="{FF2B5EF4-FFF2-40B4-BE49-F238E27FC236}">
              <a16:creationId xmlns:a16="http://schemas.microsoft.com/office/drawing/2014/main" id="{93A5EAA7-4D2A-4EA7-A2AA-6B6DFA3EED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1" name="AutoShape 255">
          <a:extLst>
            <a:ext uri="{FF2B5EF4-FFF2-40B4-BE49-F238E27FC236}">
              <a16:creationId xmlns:a16="http://schemas.microsoft.com/office/drawing/2014/main" id="{7B29E83B-6165-4FEF-B09A-13E9195525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2" name="AutoShape 254">
          <a:extLst>
            <a:ext uri="{FF2B5EF4-FFF2-40B4-BE49-F238E27FC236}">
              <a16:creationId xmlns:a16="http://schemas.microsoft.com/office/drawing/2014/main" id="{21C9430E-58C2-4620-B002-E8FC40FEF9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3" name="AutoShape 253">
          <a:extLst>
            <a:ext uri="{FF2B5EF4-FFF2-40B4-BE49-F238E27FC236}">
              <a16:creationId xmlns:a16="http://schemas.microsoft.com/office/drawing/2014/main" id="{F035731A-F419-4793-B93C-B7DD94459B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4" name="AutoShape 252">
          <a:extLst>
            <a:ext uri="{FF2B5EF4-FFF2-40B4-BE49-F238E27FC236}">
              <a16:creationId xmlns:a16="http://schemas.microsoft.com/office/drawing/2014/main" id="{ECB89913-0899-4983-9CEB-2A51E5B30A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5" name="AutoShape 251">
          <a:extLst>
            <a:ext uri="{FF2B5EF4-FFF2-40B4-BE49-F238E27FC236}">
              <a16:creationId xmlns:a16="http://schemas.microsoft.com/office/drawing/2014/main" id="{05BB2C85-4D1C-4E25-80C0-2048253C0A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6" name="AutoShape 250">
          <a:extLst>
            <a:ext uri="{FF2B5EF4-FFF2-40B4-BE49-F238E27FC236}">
              <a16:creationId xmlns:a16="http://schemas.microsoft.com/office/drawing/2014/main" id="{B1BF28A5-3AFD-4BAD-BC65-55D6087697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7" name="AutoShape 249">
          <a:extLst>
            <a:ext uri="{FF2B5EF4-FFF2-40B4-BE49-F238E27FC236}">
              <a16:creationId xmlns:a16="http://schemas.microsoft.com/office/drawing/2014/main" id="{F6DBBD80-FD57-4DB4-93C5-2B0F6E7BCE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8" name="AutoShape 248">
          <a:extLst>
            <a:ext uri="{FF2B5EF4-FFF2-40B4-BE49-F238E27FC236}">
              <a16:creationId xmlns:a16="http://schemas.microsoft.com/office/drawing/2014/main" id="{4DF567D8-1047-4E1E-9DDD-016839687B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59" name="AutoShape 247">
          <a:extLst>
            <a:ext uri="{FF2B5EF4-FFF2-40B4-BE49-F238E27FC236}">
              <a16:creationId xmlns:a16="http://schemas.microsoft.com/office/drawing/2014/main" id="{7BECD8B6-A0D5-4AC4-A69E-1601D580B4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0" name="AutoShape 246">
          <a:extLst>
            <a:ext uri="{FF2B5EF4-FFF2-40B4-BE49-F238E27FC236}">
              <a16:creationId xmlns:a16="http://schemas.microsoft.com/office/drawing/2014/main" id="{43073A92-9D7F-4573-B032-B932639C89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1" name="AutoShape 245">
          <a:extLst>
            <a:ext uri="{FF2B5EF4-FFF2-40B4-BE49-F238E27FC236}">
              <a16:creationId xmlns:a16="http://schemas.microsoft.com/office/drawing/2014/main" id="{E947AC81-7BAA-4B24-BC25-D8578444C05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2" name="AutoShape 244">
          <a:extLst>
            <a:ext uri="{FF2B5EF4-FFF2-40B4-BE49-F238E27FC236}">
              <a16:creationId xmlns:a16="http://schemas.microsoft.com/office/drawing/2014/main" id="{E377F921-C3FC-4DA6-95F6-55FBC08CA1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3" name="AutoShape 243">
          <a:extLst>
            <a:ext uri="{FF2B5EF4-FFF2-40B4-BE49-F238E27FC236}">
              <a16:creationId xmlns:a16="http://schemas.microsoft.com/office/drawing/2014/main" id="{948EC038-E1E2-4FBC-BE70-A77BDDBB91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4" name="AutoShape 242">
          <a:extLst>
            <a:ext uri="{FF2B5EF4-FFF2-40B4-BE49-F238E27FC236}">
              <a16:creationId xmlns:a16="http://schemas.microsoft.com/office/drawing/2014/main" id="{4D11C75C-839A-4836-9137-5219C53240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5" name="AutoShape 241">
          <a:extLst>
            <a:ext uri="{FF2B5EF4-FFF2-40B4-BE49-F238E27FC236}">
              <a16:creationId xmlns:a16="http://schemas.microsoft.com/office/drawing/2014/main" id="{0E9768A8-E206-4EF0-8445-5EF8A4A3CD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6" name="AutoShape 240">
          <a:extLst>
            <a:ext uri="{FF2B5EF4-FFF2-40B4-BE49-F238E27FC236}">
              <a16:creationId xmlns:a16="http://schemas.microsoft.com/office/drawing/2014/main" id="{92052DB2-89BE-4A25-9E6C-2BF824793C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7" name="AutoShape 239">
          <a:extLst>
            <a:ext uri="{FF2B5EF4-FFF2-40B4-BE49-F238E27FC236}">
              <a16:creationId xmlns:a16="http://schemas.microsoft.com/office/drawing/2014/main" id="{CCB34D53-91E7-4254-A884-92E5DA3689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8" name="AutoShape 238">
          <a:extLst>
            <a:ext uri="{FF2B5EF4-FFF2-40B4-BE49-F238E27FC236}">
              <a16:creationId xmlns:a16="http://schemas.microsoft.com/office/drawing/2014/main" id="{25B4F59A-16AF-47AA-BA64-0BBA5BFE2A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69" name="AutoShape 237">
          <a:extLst>
            <a:ext uri="{FF2B5EF4-FFF2-40B4-BE49-F238E27FC236}">
              <a16:creationId xmlns:a16="http://schemas.microsoft.com/office/drawing/2014/main" id="{067D41E0-2030-4173-A9F7-AC4D787053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0" name="AutoShape 236">
          <a:extLst>
            <a:ext uri="{FF2B5EF4-FFF2-40B4-BE49-F238E27FC236}">
              <a16:creationId xmlns:a16="http://schemas.microsoft.com/office/drawing/2014/main" id="{8CF727A5-D9C3-44C4-8B59-0C9318A828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1" name="AutoShape 235">
          <a:extLst>
            <a:ext uri="{FF2B5EF4-FFF2-40B4-BE49-F238E27FC236}">
              <a16:creationId xmlns:a16="http://schemas.microsoft.com/office/drawing/2014/main" id="{7EB4FC41-58FC-4EEB-AAEE-FEE469CE7F1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2" name="AutoShape 234">
          <a:extLst>
            <a:ext uri="{FF2B5EF4-FFF2-40B4-BE49-F238E27FC236}">
              <a16:creationId xmlns:a16="http://schemas.microsoft.com/office/drawing/2014/main" id="{8DDB54B4-1E0D-4FCC-8232-A4278117FD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3" name="AutoShape 233">
          <a:extLst>
            <a:ext uri="{FF2B5EF4-FFF2-40B4-BE49-F238E27FC236}">
              <a16:creationId xmlns:a16="http://schemas.microsoft.com/office/drawing/2014/main" id="{26CF92DB-431B-460A-B327-E32B8990EF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4" name="AutoShape 232">
          <a:extLst>
            <a:ext uri="{FF2B5EF4-FFF2-40B4-BE49-F238E27FC236}">
              <a16:creationId xmlns:a16="http://schemas.microsoft.com/office/drawing/2014/main" id="{DB145352-758E-494D-A086-D00D64E549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5" name="AutoShape 231">
          <a:extLst>
            <a:ext uri="{FF2B5EF4-FFF2-40B4-BE49-F238E27FC236}">
              <a16:creationId xmlns:a16="http://schemas.microsoft.com/office/drawing/2014/main" id="{5C7DCC91-69EE-4E51-B2EE-3457B193469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1800225</xdr:colOff>
      <xdr:row>53</xdr:row>
      <xdr:rowOff>38100</xdr:rowOff>
    </xdr:to>
    <xdr:sp macro="" textlink="">
      <xdr:nvSpPr>
        <xdr:cNvPr id="3376" name="AutoShape 230">
          <a:extLst>
            <a:ext uri="{FF2B5EF4-FFF2-40B4-BE49-F238E27FC236}">
              <a16:creationId xmlns:a16="http://schemas.microsoft.com/office/drawing/2014/main" id="{2D68128D-135C-4AF3-B2E3-7E5EE5264CC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5112C7C-A902-469C-B4ED-47177F9C35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7CB15AF-B242-4160-B80C-567DA6CEA4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3797F5F-2D9F-4993-97B3-FD9AE03AC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F10A5DD-46B3-4252-9F73-21453C14DB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20D703C-3476-46EC-88DD-D79CBFAB11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514350</xdr:colOff>
      <xdr:row>52</xdr:row>
      <xdr:rowOff>19050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7F05C22-17B8-4AC7-BBA8-773323AFF2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6" name="_x0000_t202" hidden="1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4" name="_x0000_t202" hidden="1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2" name="_x0000_t202" hidden="1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0" name="_x0000_t202" hidden="1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8" name="_x0000_t202" hidden="1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6" name="_x0000_t202" hidden="1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2" name="_x0000_t202" hidden="1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1" name="_x0000_t202" hidden="1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0" name="_x0000_t202" hidden="1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9" name="_x0000_t202" hidden="1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8" name="_x0000_t202" hidden="1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7" name="_x0000_t202" hidden="1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7" name="AutoShape 2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8" name="AutoShape 19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1" name="AutoShape 16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2" name="AutoShape 1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3" name="AutoShape 1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4" name="AutoShape 2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29" name="AutoShape 1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" name="AutoShape 2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2" name="AutoShape 19">
          <a:extLst>
            <a:ext uri="{FF2B5EF4-FFF2-40B4-BE49-F238E27FC236}">
              <a16:creationId xmlns:a16="http://schemas.microsoft.com/office/drawing/2014/main" id="{00000000-0008-0000-0300-000000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3" name="AutoShape 18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5" name="AutoShape 17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7" name="AutoShape 16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79" name="AutoShape 15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1" name="AutoShape 14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3" name="AutoShape 20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85" name="AutoShape 19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3" name="AutoShape 18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4" name="AutoShape 17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5" name="AutoShape 16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6" name="AutoShape 15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7" name="AutoShape 14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8" name="AutoShape 20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099" name="AutoShape 19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0" name="AutoShape 18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1" name="AutoShape 17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2" name="AutoShape 16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3" name="AutoShape 15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4" name="AutoShape 14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5" name="AutoShape 20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6" name="AutoShape 19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7" name="AutoShape 18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8" name="AutoShape 17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09" name="AutoShape 16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0" name="AutoShape 15">
          <a:extLst>
            <a:ext uri="{FF2B5EF4-FFF2-40B4-BE49-F238E27FC236}">
              <a16:creationId xmlns:a16="http://schemas.microsoft.com/office/drawing/2014/main" id="{00000000-0008-0000-0300-000026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1" name="AutoShape 14">
          <a:extLst>
            <a:ext uri="{FF2B5EF4-FFF2-40B4-BE49-F238E27FC236}">
              <a16:creationId xmlns:a16="http://schemas.microsoft.com/office/drawing/2014/main" id="{00000000-0008-0000-0300-000027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2" name="AutoShape 20">
          <a:extLst>
            <a:ext uri="{FF2B5EF4-FFF2-40B4-BE49-F238E27FC236}">
              <a16:creationId xmlns:a16="http://schemas.microsoft.com/office/drawing/2014/main" id="{00000000-0008-0000-0300-000028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3" name="AutoShape 19">
          <a:extLst>
            <a:ext uri="{FF2B5EF4-FFF2-40B4-BE49-F238E27FC236}">
              <a16:creationId xmlns:a16="http://schemas.microsoft.com/office/drawing/2014/main" id="{00000000-0008-0000-0300-000029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4" name="AutoShape 18">
          <a:extLst>
            <a:ext uri="{FF2B5EF4-FFF2-40B4-BE49-F238E27FC236}">
              <a16:creationId xmlns:a16="http://schemas.microsoft.com/office/drawing/2014/main" id="{00000000-0008-0000-0300-00002A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5" name="AutoShape 17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6" name="AutoShape 16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7" name="AutoShape 15">
          <a:extLst>
            <a:ext uri="{FF2B5EF4-FFF2-40B4-BE49-F238E27FC236}">
              <a16:creationId xmlns:a16="http://schemas.microsoft.com/office/drawing/2014/main" id="{00000000-0008-0000-0300-00002D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8" name="AutoShape 14">
          <a:extLst>
            <a:ext uri="{FF2B5EF4-FFF2-40B4-BE49-F238E27FC236}">
              <a16:creationId xmlns:a16="http://schemas.microsoft.com/office/drawing/2014/main" id="{00000000-0008-0000-0300-00002E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19" name="AutoShape 20">
          <a:extLst>
            <a:ext uri="{FF2B5EF4-FFF2-40B4-BE49-F238E27FC236}">
              <a16:creationId xmlns:a16="http://schemas.microsoft.com/office/drawing/2014/main" id="{00000000-0008-0000-0300-00002F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0" name="AutoShape 19">
          <a:extLst>
            <a:ext uri="{FF2B5EF4-FFF2-40B4-BE49-F238E27FC236}">
              <a16:creationId xmlns:a16="http://schemas.microsoft.com/office/drawing/2014/main" id="{00000000-0008-0000-0300-000030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1" name="AutoShape 18">
          <a:extLst>
            <a:ext uri="{FF2B5EF4-FFF2-40B4-BE49-F238E27FC236}">
              <a16:creationId xmlns:a16="http://schemas.microsoft.com/office/drawing/2014/main" id="{00000000-0008-0000-0300-000031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2" name="AutoShape 17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3" name="AutoShape 16">
          <a:extLst>
            <a:ext uri="{FF2B5EF4-FFF2-40B4-BE49-F238E27FC236}">
              <a16:creationId xmlns:a16="http://schemas.microsoft.com/office/drawing/2014/main" id="{00000000-0008-0000-0300-000033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4" name="AutoShape 15">
          <a:extLst>
            <a:ext uri="{FF2B5EF4-FFF2-40B4-BE49-F238E27FC236}">
              <a16:creationId xmlns:a16="http://schemas.microsoft.com/office/drawing/2014/main" id="{00000000-0008-0000-0300-000034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5" name="AutoShape 14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6" name="AutoShape 20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7" name="AutoShape 19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8" name="AutoShape 18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29" name="AutoShape 17">
          <a:extLst>
            <a:ext uri="{FF2B5EF4-FFF2-40B4-BE49-F238E27FC236}">
              <a16:creationId xmlns:a16="http://schemas.microsoft.com/office/drawing/2014/main" id="{00000000-0008-0000-0300-000039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0" name="AutoShape 16">
          <a:extLst>
            <a:ext uri="{FF2B5EF4-FFF2-40B4-BE49-F238E27FC236}">
              <a16:creationId xmlns:a16="http://schemas.microsoft.com/office/drawing/2014/main" id="{00000000-0008-0000-0300-00003A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1" name="AutoShape 15">
          <a:extLst>
            <a:ext uri="{FF2B5EF4-FFF2-40B4-BE49-F238E27FC236}">
              <a16:creationId xmlns:a16="http://schemas.microsoft.com/office/drawing/2014/main" id="{00000000-0008-0000-0300-00003B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2" name="AutoShape 14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3" name="AutoShape 20">
          <a:extLst>
            <a:ext uri="{FF2B5EF4-FFF2-40B4-BE49-F238E27FC236}">
              <a16:creationId xmlns:a16="http://schemas.microsoft.com/office/drawing/2014/main" id="{00000000-0008-0000-0300-00003D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4" name="AutoShape 19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5" name="AutoShape 18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6" name="AutoShape 17">
          <a:extLst>
            <a:ext uri="{FF2B5EF4-FFF2-40B4-BE49-F238E27FC236}">
              <a16:creationId xmlns:a16="http://schemas.microsoft.com/office/drawing/2014/main" id="{00000000-0008-0000-0300-000040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7" name="AutoShape 16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8" name="AutoShape 15">
          <a:extLst>
            <a:ext uri="{FF2B5EF4-FFF2-40B4-BE49-F238E27FC236}">
              <a16:creationId xmlns:a16="http://schemas.microsoft.com/office/drawing/2014/main" id="{00000000-0008-0000-0300-000042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39" name="AutoShape 14">
          <a:extLst>
            <a:ext uri="{FF2B5EF4-FFF2-40B4-BE49-F238E27FC236}">
              <a16:creationId xmlns:a16="http://schemas.microsoft.com/office/drawing/2014/main" id="{00000000-0008-0000-0300-0000430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2" name="AutoShape 2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3" name="AutoShape 19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4" name="AutoShape 1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7" name="AutoShape 1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8" name="AutoShape 14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9" name="AutoShape 20">
          <a:extLst>
            <a:ext uri="{FF2B5EF4-FFF2-40B4-BE49-F238E27FC236}">
              <a16:creationId xmlns:a16="http://schemas.microsoft.com/office/drawing/2014/main" id="{D0D1C883-C159-4DA9-AB96-C93936CEC8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0" name="AutoShape 19">
          <a:extLst>
            <a:ext uri="{FF2B5EF4-FFF2-40B4-BE49-F238E27FC236}">
              <a16:creationId xmlns:a16="http://schemas.microsoft.com/office/drawing/2014/main" id="{AE6CB6FE-B5D9-410F-8511-366B5051F9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1" name="AutoShape 18">
          <a:extLst>
            <a:ext uri="{FF2B5EF4-FFF2-40B4-BE49-F238E27FC236}">
              <a16:creationId xmlns:a16="http://schemas.microsoft.com/office/drawing/2014/main" id="{FB4E795F-D878-4051-A67B-EAE514975F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2" name="AutoShape 17">
          <a:extLst>
            <a:ext uri="{FF2B5EF4-FFF2-40B4-BE49-F238E27FC236}">
              <a16:creationId xmlns:a16="http://schemas.microsoft.com/office/drawing/2014/main" id="{982A6334-688D-4664-9D4C-33860F1874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3" name="AutoShape 16">
          <a:extLst>
            <a:ext uri="{FF2B5EF4-FFF2-40B4-BE49-F238E27FC236}">
              <a16:creationId xmlns:a16="http://schemas.microsoft.com/office/drawing/2014/main" id="{35C6AD57-5D52-478B-A420-D05F514A4C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4" name="AutoShape 15">
          <a:extLst>
            <a:ext uri="{FF2B5EF4-FFF2-40B4-BE49-F238E27FC236}">
              <a16:creationId xmlns:a16="http://schemas.microsoft.com/office/drawing/2014/main" id="{CD18E6A6-1ACE-4B19-B78B-A8C738EA9C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E446D80F-F6AF-465B-BB87-8BC01CE5262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6" name="AutoShape 20">
          <a:extLst>
            <a:ext uri="{FF2B5EF4-FFF2-40B4-BE49-F238E27FC236}">
              <a16:creationId xmlns:a16="http://schemas.microsoft.com/office/drawing/2014/main" id="{7A741F2B-9A86-4A8B-A57A-FBD96B0025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7" name="AutoShape 19">
          <a:extLst>
            <a:ext uri="{FF2B5EF4-FFF2-40B4-BE49-F238E27FC236}">
              <a16:creationId xmlns:a16="http://schemas.microsoft.com/office/drawing/2014/main" id="{BB129639-5316-40B5-840B-61EBDFEF57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8" name="AutoShape 18">
          <a:extLst>
            <a:ext uri="{FF2B5EF4-FFF2-40B4-BE49-F238E27FC236}">
              <a16:creationId xmlns:a16="http://schemas.microsoft.com/office/drawing/2014/main" id="{194616AD-666E-4A7E-ADFC-3130911EB3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02BE113E-8F1C-4241-88EE-80786070FD0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0" name="AutoShape 16">
          <a:extLst>
            <a:ext uri="{FF2B5EF4-FFF2-40B4-BE49-F238E27FC236}">
              <a16:creationId xmlns:a16="http://schemas.microsoft.com/office/drawing/2014/main" id="{0BAA6716-56ED-44F4-8051-9A48FAB3B2A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1" name="AutoShape 15">
          <a:extLst>
            <a:ext uri="{FF2B5EF4-FFF2-40B4-BE49-F238E27FC236}">
              <a16:creationId xmlns:a16="http://schemas.microsoft.com/office/drawing/2014/main" id="{74E486F7-EA31-41AC-87CF-6C95EBEECA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2" name="AutoShape 14">
          <a:extLst>
            <a:ext uri="{FF2B5EF4-FFF2-40B4-BE49-F238E27FC236}">
              <a16:creationId xmlns:a16="http://schemas.microsoft.com/office/drawing/2014/main" id="{AA7B6655-8E56-4FA7-96B6-C4B471B593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3" name="AutoShape 20">
          <a:extLst>
            <a:ext uri="{FF2B5EF4-FFF2-40B4-BE49-F238E27FC236}">
              <a16:creationId xmlns:a16="http://schemas.microsoft.com/office/drawing/2014/main" id="{CD24FAEC-0F82-401E-8D95-3324C1D1B2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4" name="AutoShape 19">
          <a:extLst>
            <a:ext uri="{FF2B5EF4-FFF2-40B4-BE49-F238E27FC236}">
              <a16:creationId xmlns:a16="http://schemas.microsoft.com/office/drawing/2014/main" id="{33F16605-6F87-4364-9466-3C7458E3B53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5" name="AutoShape 18">
          <a:extLst>
            <a:ext uri="{FF2B5EF4-FFF2-40B4-BE49-F238E27FC236}">
              <a16:creationId xmlns:a16="http://schemas.microsoft.com/office/drawing/2014/main" id="{4AFCA9F5-DD46-47F7-9F77-33E4C2B926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6" name="AutoShape 17">
          <a:extLst>
            <a:ext uri="{FF2B5EF4-FFF2-40B4-BE49-F238E27FC236}">
              <a16:creationId xmlns:a16="http://schemas.microsoft.com/office/drawing/2014/main" id="{145A6292-DCD9-4662-9067-AA1E782E945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0C8D2ADB-9C55-4AC9-B483-B1D06FFA5F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8" name="AutoShape 15">
          <a:extLst>
            <a:ext uri="{FF2B5EF4-FFF2-40B4-BE49-F238E27FC236}">
              <a16:creationId xmlns:a16="http://schemas.microsoft.com/office/drawing/2014/main" id="{6E81CD3B-3DCA-4919-9CA8-910DB9F2D5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59" name="AutoShape 14">
          <a:extLst>
            <a:ext uri="{FF2B5EF4-FFF2-40B4-BE49-F238E27FC236}">
              <a16:creationId xmlns:a16="http://schemas.microsoft.com/office/drawing/2014/main" id="{1FF78880-612B-4060-988D-17EE39F418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60" name="AutoShape 20">
          <a:extLst>
            <a:ext uri="{FF2B5EF4-FFF2-40B4-BE49-F238E27FC236}">
              <a16:creationId xmlns:a16="http://schemas.microsoft.com/office/drawing/2014/main" id="{3D94DD64-DE4D-40A8-A54E-7933440748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61" name="AutoShape 19">
          <a:extLst>
            <a:ext uri="{FF2B5EF4-FFF2-40B4-BE49-F238E27FC236}">
              <a16:creationId xmlns:a16="http://schemas.microsoft.com/office/drawing/2014/main" id="{A306B9CC-322F-4C32-AD49-EB2D9A75DB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62" name="AutoShape 18">
          <a:extLst>
            <a:ext uri="{FF2B5EF4-FFF2-40B4-BE49-F238E27FC236}">
              <a16:creationId xmlns:a16="http://schemas.microsoft.com/office/drawing/2014/main" id="{0025703C-B2C4-436F-A9C6-62A3D4A43F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63" name="AutoShape 17">
          <a:extLst>
            <a:ext uri="{FF2B5EF4-FFF2-40B4-BE49-F238E27FC236}">
              <a16:creationId xmlns:a16="http://schemas.microsoft.com/office/drawing/2014/main" id="{EEAFDDD2-E6D0-4273-829F-5743D55286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0" name="AutoShape 16">
          <a:extLst>
            <a:ext uri="{FF2B5EF4-FFF2-40B4-BE49-F238E27FC236}">
              <a16:creationId xmlns:a16="http://schemas.microsoft.com/office/drawing/2014/main" id="{79651AF2-7508-498B-A0D9-5C2329D272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1" name="AutoShape 15">
          <a:extLst>
            <a:ext uri="{FF2B5EF4-FFF2-40B4-BE49-F238E27FC236}">
              <a16:creationId xmlns:a16="http://schemas.microsoft.com/office/drawing/2014/main" id="{9ED10F6D-C8EF-4DBB-BE3E-BA913F21B5D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2" name="AutoShape 14">
          <a:extLst>
            <a:ext uri="{FF2B5EF4-FFF2-40B4-BE49-F238E27FC236}">
              <a16:creationId xmlns:a16="http://schemas.microsoft.com/office/drawing/2014/main" id="{B079AFC6-4254-40FA-92C8-F55EBD2EBA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3" name="AutoShape 20">
          <a:extLst>
            <a:ext uri="{FF2B5EF4-FFF2-40B4-BE49-F238E27FC236}">
              <a16:creationId xmlns:a16="http://schemas.microsoft.com/office/drawing/2014/main" id="{E33D2FBD-3D87-49E0-BC28-F14825E2C4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4" name="AutoShape 19">
          <a:extLst>
            <a:ext uri="{FF2B5EF4-FFF2-40B4-BE49-F238E27FC236}">
              <a16:creationId xmlns:a16="http://schemas.microsoft.com/office/drawing/2014/main" id="{EB678B20-7CEA-4164-BECE-6C8151A15E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5" name="AutoShape 18">
          <a:extLst>
            <a:ext uri="{FF2B5EF4-FFF2-40B4-BE49-F238E27FC236}">
              <a16:creationId xmlns:a16="http://schemas.microsoft.com/office/drawing/2014/main" id="{28A91F3D-A340-4772-8E90-ED1E16ABB5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6" name="AutoShape 17">
          <a:extLst>
            <a:ext uri="{FF2B5EF4-FFF2-40B4-BE49-F238E27FC236}">
              <a16:creationId xmlns:a16="http://schemas.microsoft.com/office/drawing/2014/main" id="{3023F6E2-4C9E-4373-90B1-5966CD264E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7" name="AutoShape 16">
          <a:extLst>
            <a:ext uri="{FF2B5EF4-FFF2-40B4-BE49-F238E27FC236}">
              <a16:creationId xmlns:a16="http://schemas.microsoft.com/office/drawing/2014/main" id="{10172DD8-DC93-4436-8B2B-CC5A148C1B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8" name="AutoShape 15">
          <a:extLst>
            <a:ext uri="{FF2B5EF4-FFF2-40B4-BE49-F238E27FC236}">
              <a16:creationId xmlns:a16="http://schemas.microsoft.com/office/drawing/2014/main" id="{3C4446B6-DBD7-47F3-B19B-3CEA32CC87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49" name="AutoShape 14">
          <a:extLst>
            <a:ext uri="{FF2B5EF4-FFF2-40B4-BE49-F238E27FC236}">
              <a16:creationId xmlns:a16="http://schemas.microsoft.com/office/drawing/2014/main" id="{49CA031B-2EC2-49C7-A48A-9CF036288C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0" name="AutoShape 20">
          <a:extLst>
            <a:ext uri="{FF2B5EF4-FFF2-40B4-BE49-F238E27FC236}">
              <a16:creationId xmlns:a16="http://schemas.microsoft.com/office/drawing/2014/main" id="{CA3F8DB5-793C-4D5B-9582-8EC94C91F4B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1" name="AutoShape 19">
          <a:extLst>
            <a:ext uri="{FF2B5EF4-FFF2-40B4-BE49-F238E27FC236}">
              <a16:creationId xmlns:a16="http://schemas.microsoft.com/office/drawing/2014/main" id="{A27F5401-E5C8-4A4F-869B-EAAD7F1ACE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2" name="AutoShape 18">
          <a:extLst>
            <a:ext uri="{FF2B5EF4-FFF2-40B4-BE49-F238E27FC236}">
              <a16:creationId xmlns:a16="http://schemas.microsoft.com/office/drawing/2014/main" id="{AC3919A5-78CD-4C96-8D38-022FD7DC96C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3" name="AutoShape 17">
          <a:extLst>
            <a:ext uri="{FF2B5EF4-FFF2-40B4-BE49-F238E27FC236}">
              <a16:creationId xmlns:a16="http://schemas.microsoft.com/office/drawing/2014/main" id="{9ED0556C-4FED-4F17-8B3A-82424F6F51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4" name="AutoShape 16">
          <a:extLst>
            <a:ext uri="{FF2B5EF4-FFF2-40B4-BE49-F238E27FC236}">
              <a16:creationId xmlns:a16="http://schemas.microsoft.com/office/drawing/2014/main" id="{0989A40E-FBE5-430C-A412-00797D7661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5" name="AutoShape 15">
          <a:extLst>
            <a:ext uri="{FF2B5EF4-FFF2-40B4-BE49-F238E27FC236}">
              <a16:creationId xmlns:a16="http://schemas.microsoft.com/office/drawing/2014/main" id="{044278B6-AB59-4CAF-95CD-71E6F4CD9A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466725</xdr:colOff>
      <xdr:row>55</xdr:row>
      <xdr:rowOff>142875</xdr:rowOff>
    </xdr:to>
    <xdr:sp macro="" textlink="">
      <xdr:nvSpPr>
        <xdr:cNvPr id="3156" name="AutoShape 14">
          <a:extLst>
            <a:ext uri="{FF2B5EF4-FFF2-40B4-BE49-F238E27FC236}">
              <a16:creationId xmlns:a16="http://schemas.microsoft.com/office/drawing/2014/main" id="{BF16EB55-A76F-490D-ACE1-F325657B792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133200</xdr:colOff>
      <xdr:row>4</xdr:row>
      <xdr:rowOff>28440</xdr:rowOff>
    </xdr:from>
    <xdr:to>
      <xdr:col>0</xdr:col>
      <xdr:colOff>1418400</xdr:colOff>
      <xdr:row>6</xdr:row>
      <xdr:rowOff>65880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3200" y="742680"/>
          <a:ext cx="1285200" cy="36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85680</xdr:colOff>
      <xdr:row>7</xdr:row>
      <xdr:rowOff>9360</xdr:rowOff>
    </xdr:from>
    <xdr:to>
      <xdr:col>0</xdr:col>
      <xdr:colOff>2123280</xdr:colOff>
      <xdr:row>9</xdr:row>
      <xdr:rowOff>56160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680" y="1209240"/>
          <a:ext cx="2037600" cy="370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4" name="_x0000_t202" hidden="1">
          <a:extLst>
            <a:ext uri="{FF2B5EF4-FFF2-40B4-BE49-F238E27FC236}">
              <a16:creationId xmlns:a16="http://schemas.microsoft.com/office/drawing/2014/main" id="{00000000-0008-0000-06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2" name="_x0000_t202" hidden="1">
          <a:extLst>
            <a:ext uri="{FF2B5EF4-FFF2-40B4-BE49-F238E27FC236}">
              <a16:creationId xmlns:a16="http://schemas.microsoft.com/office/drawing/2014/main" id="{00000000-0008-0000-06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0" name="_x0000_t202" hidden="1">
          <a:extLst>
            <a:ext uri="{FF2B5EF4-FFF2-40B4-BE49-F238E27FC236}">
              <a16:creationId xmlns:a16="http://schemas.microsoft.com/office/drawing/2014/main" id="{00000000-0008-0000-06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8" name="_x0000_t202" hidden="1">
          <a:extLst>
            <a:ext uri="{FF2B5EF4-FFF2-40B4-BE49-F238E27FC236}">
              <a16:creationId xmlns:a16="http://schemas.microsoft.com/office/drawing/2014/main" id="{00000000-0008-0000-06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6" name="_x0000_t202" hidden="1">
          <a:extLst>
            <a:ext uri="{FF2B5EF4-FFF2-40B4-BE49-F238E27FC236}">
              <a16:creationId xmlns:a16="http://schemas.microsoft.com/office/drawing/2014/main" id="{00000000-0008-0000-06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4" name="_x0000_t202" hidden="1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2" name="_x0000_t202" hidden="1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0" name="_x0000_t202" hidden="1">
          <a:extLst>
            <a:ext uri="{FF2B5EF4-FFF2-40B4-BE49-F238E27FC236}">
              <a16:creationId xmlns:a16="http://schemas.microsoft.com/office/drawing/2014/main" id="{00000000-0008-0000-0600-00001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9" name="_x0000_t202" hidden="1">
          <a:extLst>
            <a:ext uri="{FF2B5EF4-FFF2-40B4-BE49-F238E27FC236}">
              <a16:creationId xmlns:a16="http://schemas.microsoft.com/office/drawing/2014/main" id="{00000000-0008-0000-0600-000013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8" name="_x0000_t202" hidden="1">
          <a:extLst>
            <a:ext uri="{FF2B5EF4-FFF2-40B4-BE49-F238E27FC236}">
              <a16:creationId xmlns:a16="http://schemas.microsoft.com/office/drawing/2014/main" id="{00000000-0008-0000-0600-00001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7" name="_x0000_t202" hidden="1">
          <a:extLst>
            <a:ext uri="{FF2B5EF4-FFF2-40B4-BE49-F238E27FC236}">
              <a16:creationId xmlns:a16="http://schemas.microsoft.com/office/drawing/2014/main" id="{00000000-0008-0000-0600-000011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6" name="_x0000_t202" hidden="1">
          <a:extLst>
            <a:ext uri="{FF2B5EF4-FFF2-40B4-BE49-F238E27FC236}">
              <a16:creationId xmlns:a16="http://schemas.microsoft.com/office/drawing/2014/main" id="{00000000-0008-0000-0600-000010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5" name="_x0000_t202" hidden="1">
          <a:extLst>
            <a:ext uri="{FF2B5EF4-FFF2-40B4-BE49-F238E27FC236}">
              <a16:creationId xmlns:a16="http://schemas.microsoft.com/office/drawing/2014/main" id="{00000000-0008-0000-0600-00000F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" name="_x0000_t202" hidden="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6" name="_x0000_t202" hidden="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7" name="_x0000_t202" hidden="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8" name="_x0000_t202" hidden="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9" name="_x0000_t202" hidden="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0" name="_x0000_t202" hidden="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1" name="_x0000_t202" hidden="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2" name="_x0000_t202" hidden="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3" name="_x0000_t202" hidden="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4" name="_x0000_t202" hidden="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5" name="_x0000_t202" hidden="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6" name="_x0000_t202" hidden="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7" name="AutoShape 20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8" name="AutoShape 19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1" name="AutoShape 1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2" name="AutoShape 15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3" name="AutoShap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4" name="AutoShape 20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29" name="AutoShape 15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1" name="AutoShape 2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0" name="AutoShape 19">
          <a:extLst>
            <a:ext uri="{FF2B5EF4-FFF2-40B4-BE49-F238E27FC236}">
              <a16:creationId xmlns:a16="http://schemas.microsoft.com/office/drawing/2014/main" id="{00000000-0008-0000-0600-000000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1" name="AutoShape 18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3" name="AutoShape 17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5" name="AutoShape 16">
          <a:extLst>
            <a:ext uri="{FF2B5EF4-FFF2-40B4-BE49-F238E27FC236}">
              <a16:creationId xmlns:a16="http://schemas.microsoft.com/office/drawing/2014/main" id="{00000000-0008-0000-0600-000005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7" name="AutoShape 15">
          <a:extLst>
            <a:ext uri="{FF2B5EF4-FFF2-40B4-BE49-F238E27FC236}">
              <a16:creationId xmlns:a16="http://schemas.microsoft.com/office/drawing/2014/main" id="{00000000-0008-0000-0600-000007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29" name="AutoShape 14">
          <a:extLst>
            <a:ext uri="{FF2B5EF4-FFF2-40B4-BE49-F238E27FC236}">
              <a16:creationId xmlns:a16="http://schemas.microsoft.com/office/drawing/2014/main" id="{00000000-0008-0000-0600-000009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1" name="AutoShape 20">
          <a:extLst>
            <a:ext uri="{FF2B5EF4-FFF2-40B4-BE49-F238E27FC236}">
              <a16:creationId xmlns:a16="http://schemas.microsoft.com/office/drawing/2014/main" id="{00000000-0008-0000-0600-00000B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33" name="AutoShape 19">
          <a:extLst>
            <a:ext uri="{FF2B5EF4-FFF2-40B4-BE49-F238E27FC236}">
              <a16:creationId xmlns:a16="http://schemas.microsoft.com/office/drawing/2014/main" id="{00000000-0008-0000-0600-00000D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1" name="AutoShape 18">
          <a:extLst>
            <a:ext uri="{FF2B5EF4-FFF2-40B4-BE49-F238E27FC236}">
              <a16:creationId xmlns:a16="http://schemas.microsoft.com/office/drawing/2014/main" id="{00000000-0008-0000-0600-000015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2" name="AutoShape 17">
          <a:extLst>
            <a:ext uri="{FF2B5EF4-FFF2-40B4-BE49-F238E27FC236}">
              <a16:creationId xmlns:a16="http://schemas.microsoft.com/office/drawing/2014/main" id="{00000000-0008-0000-0600-000016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3" name="AutoShape 16">
          <a:extLst>
            <a:ext uri="{FF2B5EF4-FFF2-40B4-BE49-F238E27FC236}">
              <a16:creationId xmlns:a16="http://schemas.microsoft.com/office/drawing/2014/main" id="{00000000-0008-0000-0600-000017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4" name="AutoShape 15">
          <a:extLst>
            <a:ext uri="{FF2B5EF4-FFF2-40B4-BE49-F238E27FC236}">
              <a16:creationId xmlns:a16="http://schemas.microsoft.com/office/drawing/2014/main" id="{00000000-0008-0000-0600-000018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5" name="AutoShape 14">
          <a:extLst>
            <a:ext uri="{FF2B5EF4-FFF2-40B4-BE49-F238E27FC236}">
              <a16:creationId xmlns:a16="http://schemas.microsoft.com/office/drawing/2014/main" id="{00000000-0008-0000-0600-000019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6" name="AutoShape 20">
          <a:extLst>
            <a:ext uri="{FF2B5EF4-FFF2-40B4-BE49-F238E27FC236}">
              <a16:creationId xmlns:a16="http://schemas.microsoft.com/office/drawing/2014/main" id="{00000000-0008-0000-0600-00001A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7" name="AutoShape 19">
          <a:extLst>
            <a:ext uri="{FF2B5EF4-FFF2-40B4-BE49-F238E27FC236}">
              <a16:creationId xmlns:a16="http://schemas.microsoft.com/office/drawing/2014/main" id="{00000000-0008-0000-0600-00001B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8" name="AutoShape 18">
          <a:extLst>
            <a:ext uri="{FF2B5EF4-FFF2-40B4-BE49-F238E27FC236}">
              <a16:creationId xmlns:a16="http://schemas.microsoft.com/office/drawing/2014/main" id="{00000000-0008-0000-0600-00001C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49" name="AutoShape 17">
          <a:extLst>
            <a:ext uri="{FF2B5EF4-FFF2-40B4-BE49-F238E27FC236}">
              <a16:creationId xmlns:a16="http://schemas.microsoft.com/office/drawing/2014/main" id="{00000000-0008-0000-0600-00001D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0" name="AutoShape 16">
          <a:extLst>
            <a:ext uri="{FF2B5EF4-FFF2-40B4-BE49-F238E27FC236}">
              <a16:creationId xmlns:a16="http://schemas.microsoft.com/office/drawing/2014/main" id="{00000000-0008-0000-0600-00001E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1" name="AutoShape 15">
          <a:extLst>
            <a:ext uri="{FF2B5EF4-FFF2-40B4-BE49-F238E27FC236}">
              <a16:creationId xmlns:a16="http://schemas.microsoft.com/office/drawing/2014/main" id="{00000000-0008-0000-0600-00001F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2" name="AutoShape 14">
          <a:extLst>
            <a:ext uri="{FF2B5EF4-FFF2-40B4-BE49-F238E27FC236}">
              <a16:creationId xmlns:a16="http://schemas.microsoft.com/office/drawing/2014/main" id="{00000000-0008-0000-0600-000020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3" name="AutoShape 20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4" name="AutoShape 19">
          <a:extLst>
            <a:ext uri="{FF2B5EF4-FFF2-40B4-BE49-F238E27FC236}">
              <a16:creationId xmlns:a16="http://schemas.microsoft.com/office/drawing/2014/main" id="{00000000-0008-0000-0600-00002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5" name="AutoShape 18">
          <a:extLst>
            <a:ext uri="{FF2B5EF4-FFF2-40B4-BE49-F238E27FC236}">
              <a16:creationId xmlns:a16="http://schemas.microsoft.com/office/drawing/2014/main" id="{00000000-0008-0000-0600-000023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6" name="AutoShape 17">
          <a:extLst>
            <a:ext uri="{FF2B5EF4-FFF2-40B4-BE49-F238E27FC236}">
              <a16:creationId xmlns:a16="http://schemas.microsoft.com/office/drawing/2014/main" id="{00000000-0008-0000-0600-000024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7" name="AutoShape 16">
          <a:extLst>
            <a:ext uri="{FF2B5EF4-FFF2-40B4-BE49-F238E27FC236}">
              <a16:creationId xmlns:a16="http://schemas.microsoft.com/office/drawing/2014/main" id="{00000000-0008-0000-0600-000025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8" name="AutoShape 15">
          <a:extLst>
            <a:ext uri="{FF2B5EF4-FFF2-40B4-BE49-F238E27FC236}">
              <a16:creationId xmlns:a16="http://schemas.microsoft.com/office/drawing/2014/main" id="{00000000-0008-0000-0600-000026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59" name="AutoShape 14">
          <a:extLst>
            <a:ext uri="{FF2B5EF4-FFF2-40B4-BE49-F238E27FC236}">
              <a16:creationId xmlns:a16="http://schemas.microsoft.com/office/drawing/2014/main" id="{00000000-0008-0000-0600-000027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0" name="AutoShape 20">
          <a:extLst>
            <a:ext uri="{FF2B5EF4-FFF2-40B4-BE49-F238E27FC236}">
              <a16:creationId xmlns:a16="http://schemas.microsoft.com/office/drawing/2014/main" id="{00000000-0008-0000-0600-000028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1" name="AutoShape 19">
          <a:extLst>
            <a:ext uri="{FF2B5EF4-FFF2-40B4-BE49-F238E27FC236}">
              <a16:creationId xmlns:a16="http://schemas.microsoft.com/office/drawing/2014/main" id="{00000000-0008-0000-0600-000029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2" name="AutoShape 18">
          <a:extLst>
            <a:ext uri="{FF2B5EF4-FFF2-40B4-BE49-F238E27FC236}">
              <a16:creationId xmlns:a16="http://schemas.microsoft.com/office/drawing/2014/main" id="{00000000-0008-0000-0600-00002A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3" name="AutoShape 17">
          <a:extLst>
            <a:ext uri="{FF2B5EF4-FFF2-40B4-BE49-F238E27FC236}">
              <a16:creationId xmlns:a16="http://schemas.microsoft.com/office/drawing/2014/main" id="{00000000-0008-0000-0600-00002B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4" name="AutoShape 16">
          <a:extLst>
            <a:ext uri="{FF2B5EF4-FFF2-40B4-BE49-F238E27FC236}">
              <a16:creationId xmlns:a16="http://schemas.microsoft.com/office/drawing/2014/main" id="{00000000-0008-0000-0600-00002C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5" name="AutoShape 15">
          <a:extLst>
            <a:ext uri="{FF2B5EF4-FFF2-40B4-BE49-F238E27FC236}">
              <a16:creationId xmlns:a16="http://schemas.microsoft.com/office/drawing/2014/main" id="{00000000-0008-0000-0600-00002D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6" name="AutoShape 14">
          <a:extLst>
            <a:ext uri="{FF2B5EF4-FFF2-40B4-BE49-F238E27FC236}">
              <a16:creationId xmlns:a16="http://schemas.microsoft.com/office/drawing/2014/main" id="{00000000-0008-0000-0600-00002E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7" name="AutoShape 20">
          <a:extLst>
            <a:ext uri="{FF2B5EF4-FFF2-40B4-BE49-F238E27FC236}">
              <a16:creationId xmlns:a16="http://schemas.microsoft.com/office/drawing/2014/main" id="{00000000-0008-0000-0600-00002F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8" name="AutoShape 19">
          <a:extLst>
            <a:ext uri="{FF2B5EF4-FFF2-40B4-BE49-F238E27FC236}">
              <a16:creationId xmlns:a16="http://schemas.microsoft.com/office/drawing/2014/main" id="{00000000-0008-0000-0600-000030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69" name="AutoShape 18">
          <a:extLst>
            <a:ext uri="{FF2B5EF4-FFF2-40B4-BE49-F238E27FC236}">
              <a16:creationId xmlns:a16="http://schemas.microsoft.com/office/drawing/2014/main" id="{00000000-0008-0000-0600-000031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0" name="AutoShape 17">
          <a:extLst>
            <a:ext uri="{FF2B5EF4-FFF2-40B4-BE49-F238E27FC236}">
              <a16:creationId xmlns:a16="http://schemas.microsoft.com/office/drawing/2014/main" id="{00000000-0008-0000-0600-00003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1" name="AutoShape 16">
          <a:extLst>
            <a:ext uri="{FF2B5EF4-FFF2-40B4-BE49-F238E27FC236}">
              <a16:creationId xmlns:a16="http://schemas.microsoft.com/office/drawing/2014/main" id="{00000000-0008-0000-0600-000033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2" name="AutoShape 15">
          <a:extLst>
            <a:ext uri="{FF2B5EF4-FFF2-40B4-BE49-F238E27FC236}">
              <a16:creationId xmlns:a16="http://schemas.microsoft.com/office/drawing/2014/main" id="{00000000-0008-0000-0600-000034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3" name="AutoShape 14">
          <a:extLst>
            <a:ext uri="{FF2B5EF4-FFF2-40B4-BE49-F238E27FC236}">
              <a16:creationId xmlns:a16="http://schemas.microsoft.com/office/drawing/2014/main" id="{00000000-0008-0000-0600-000035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4" name="AutoShape 20">
          <a:extLst>
            <a:ext uri="{FF2B5EF4-FFF2-40B4-BE49-F238E27FC236}">
              <a16:creationId xmlns:a16="http://schemas.microsoft.com/office/drawing/2014/main" id="{00000000-0008-0000-0600-000036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5" name="AutoShape 19">
          <a:extLst>
            <a:ext uri="{FF2B5EF4-FFF2-40B4-BE49-F238E27FC236}">
              <a16:creationId xmlns:a16="http://schemas.microsoft.com/office/drawing/2014/main" id="{00000000-0008-0000-0600-000037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6" name="AutoShape 18">
          <a:extLst>
            <a:ext uri="{FF2B5EF4-FFF2-40B4-BE49-F238E27FC236}">
              <a16:creationId xmlns:a16="http://schemas.microsoft.com/office/drawing/2014/main" id="{00000000-0008-0000-0600-000038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7" name="AutoShape 17">
          <a:extLst>
            <a:ext uri="{FF2B5EF4-FFF2-40B4-BE49-F238E27FC236}">
              <a16:creationId xmlns:a16="http://schemas.microsoft.com/office/drawing/2014/main" id="{00000000-0008-0000-0600-000039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8" name="AutoShape 16">
          <a:extLst>
            <a:ext uri="{FF2B5EF4-FFF2-40B4-BE49-F238E27FC236}">
              <a16:creationId xmlns:a16="http://schemas.microsoft.com/office/drawing/2014/main" id="{00000000-0008-0000-0600-00003A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79" name="AutoShape 15">
          <a:extLst>
            <a:ext uri="{FF2B5EF4-FFF2-40B4-BE49-F238E27FC236}">
              <a16:creationId xmlns:a16="http://schemas.microsoft.com/office/drawing/2014/main" id="{00000000-0008-0000-0600-00003B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0" name="AutoShape 14">
          <a:extLst>
            <a:ext uri="{FF2B5EF4-FFF2-40B4-BE49-F238E27FC236}">
              <a16:creationId xmlns:a16="http://schemas.microsoft.com/office/drawing/2014/main" id="{00000000-0008-0000-0600-00003C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1" name="AutoShape 20">
          <a:extLst>
            <a:ext uri="{FF2B5EF4-FFF2-40B4-BE49-F238E27FC236}">
              <a16:creationId xmlns:a16="http://schemas.microsoft.com/office/drawing/2014/main" id="{00000000-0008-0000-0600-00003D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2" name="AutoShape 19">
          <a:extLst>
            <a:ext uri="{FF2B5EF4-FFF2-40B4-BE49-F238E27FC236}">
              <a16:creationId xmlns:a16="http://schemas.microsoft.com/office/drawing/2014/main" id="{00000000-0008-0000-0600-00003E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3" name="AutoShape 18">
          <a:extLst>
            <a:ext uri="{FF2B5EF4-FFF2-40B4-BE49-F238E27FC236}">
              <a16:creationId xmlns:a16="http://schemas.microsoft.com/office/drawing/2014/main" id="{00000000-0008-0000-0600-00003F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4" name="AutoShape 17">
          <a:extLst>
            <a:ext uri="{FF2B5EF4-FFF2-40B4-BE49-F238E27FC236}">
              <a16:creationId xmlns:a16="http://schemas.microsoft.com/office/drawing/2014/main" id="{00000000-0008-0000-0600-000040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5" name="AutoShape 16">
          <a:extLst>
            <a:ext uri="{FF2B5EF4-FFF2-40B4-BE49-F238E27FC236}">
              <a16:creationId xmlns:a16="http://schemas.microsoft.com/office/drawing/2014/main" id="{00000000-0008-0000-0600-000041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6" name="AutoShape 15">
          <a:extLst>
            <a:ext uri="{FF2B5EF4-FFF2-40B4-BE49-F238E27FC236}">
              <a16:creationId xmlns:a16="http://schemas.microsoft.com/office/drawing/2014/main" id="{00000000-0008-0000-0600-00004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7" name="AutoShape 14">
          <a:extLst>
            <a:ext uri="{FF2B5EF4-FFF2-40B4-BE49-F238E27FC236}">
              <a16:creationId xmlns:a16="http://schemas.microsoft.com/office/drawing/2014/main" id="{00000000-0008-0000-0600-000043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2" name="AutoShape 20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3" name="AutoShape 19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4" name="AutoShape 18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7" name="AutoShape 15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8" name="AutoShape 14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39" name="AutoShape 20">
          <a:extLst>
            <a:ext uri="{FF2B5EF4-FFF2-40B4-BE49-F238E27FC236}">
              <a16:creationId xmlns:a16="http://schemas.microsoft.com/office/drawing/2014/main" id="{8753A6D0-D179-4BDD-9848-74BECA7BDC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0" name="AutoShape 19">
          <a:extLst>
            <a:ext uri="{FF2B5EF4-FFF2-40B4-BE49-F238E27FC236}">
              <a16:creationId xmlns:a16="http://schemas.microsoft.com/office/drawing/2014/main" id="{63627904-73D3-466E-8964-D289B644A0B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1" name="AutoShape 18">
          <a:extLst>
            <a:ext uri="{FF2B5EF4-FFF2-40B4-BE49-F238E27FC236}">
              <a16:creationId xmlns:a16="http://schemas.microsoft.com/office/drawing/2014/main" id="{CDBD4F49-307D-4541-A40E-F4B2BE2ECF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2" name="AutoShape 17">
          <a:extLst>
            <a:ext uri="{FF2B5EF4-FFF2-40B4-BE49-F238E27FC236}">
              <a16:creationId xmlns:a16="http://schemas.microsoft.com/office/drawing/2014/main" id="{F9E31067-CA3E-4EA8-A1F4-1B38E60B85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3" name="AutoShape 16">
          <a:extLst>
            <a:ext uri="{FF2B5EF4-FFF2-40B4-BE49-F238E27FC236}">
              <a16:creationId xmlns:a16="http://schemas.microsoft.com/office/drawing/2014/main" id="{F7CF0361-1819-4B0A-BA88-7E9F4934EDC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4" name="AutoShape 15">
          <a:extLst>
            <a:ext uri="{FF2B5EF4-FFF2-40B4-BE49-F238E27FC236}">
              <a16:creationId xmlns:a16="http://schemas.microsoft.com/office/drawing/2014/main" id="{E8360401-A83A-4FD5-87A1-985FCF9B33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9F9F8362-34CC-45D8-8846-94FDA418ED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6" name="AutoShape 20">
          <a:extLst>
            <a:ext uri="{FF2B5EF4-FFF2-40B4-BE49-F238E27FC236}">
              <a16:creationId xmlns:a16="http://schemas.microsoft.com/office/drawing/2014/main" id="{E6CB1E3A-A40C-4C65-9EEE-A80A9C6DFA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7" name="AutoShape 19">
          <a:extLst>
            <a:ext uri="{FF2B5EF4-FFF2-40B4-BE49-F238E27FC236}">
              <a16:creationId xmlns:a16="http://schemas.microsoft.com/office/drawing/2014/main" id="{1BFC4604-5C57-4AB2-8473-567DF737A9C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8" name="AutoShape 18">
          <a:extLst>
            <a:ext uri="{FF2B5EF4-FFF2-40B4-BE49-F238E27FC236}">
              <a16:creationId xmlns:a16="http://schemas.microsoft.com/office/drawing/2014/main" id="{ED1E8B5B-FBE5-4D3A-B4F2-EA5B62EAAB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874BF39D-8687-43C4-BDF7-6EFAE9F841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0" name="AutoShape 16">
          <a:extLst>
            <a:ext uri="{FF2B5EF4-FFF2-40B4-BE49-F238E27FC236}">
              <a16:creationId xmlns:a16="http://schemas.microsoft.com/office/drawing/2014/main" id="{044CF428-4A15-4AAA-B705-97A02C8B62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" name="AutoShape 15">
          <a:extLst>
            <a:ext uri="{FF2B5EF4-FFF2-40B4-BE49-F238E27FC236}">
              <a16:creationId xmlns:a16="http://schemas.microsoft.com/office/drawing/2014/main" id="{C2B4CF32-6E7A-4C98-AADB-C115446F42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" name="AutoShape 14">
          <a:extLst>
            <a:ext uri="{FF2B5EF4-FFF2-40B4-BE49-F238E27FC236}">
              <a16:creationId xmlns:a16="http://schemas.microsoft.com/office/drawing/2014/main" id="{4C4E4C05-4B4C-423C-92C5-67E30E5826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3" name="AutoShape 20">
          <a:extLst>
            <a:ext uri="{FF2B5EF4-FFF2-40B4-BE49-F238E27FC236}">
              <a16:creationId xmlns:a16="http://schemas.microsoft.com/office/drawing/2014/main" id="{42884115-D556-46AD-B38E-7C9A9AEE89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4" name="AutoShape 19">
          <a:extLst>
            <a:ext uri="{FF2B5EF4-FFF2-40B4-BE49-F238E27FC236}">
              <a16:creationId xmlns:a16="http://schemas.microsoft.com/office/drawing/2014/main" id="{247A87A1-3151-48BE-83F7-DE38BBAED5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5" name="AutoShape 18">
          <a:extLst>
            <a:ext uri="{FF2B5EF4-FFF2-40B4-BE49-F238E27FC236}">
              <a16:creationId xmlns:a16="http://schemas.microsoft.com/office/drawing/2014/main" id="{ACE4DC5E-F23A-48C1-863C-F91392425A1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6" name="AutoShape 17">
          <a:extLst>
            <a:ext uri="{FF2B5EF4-FFF2-40B4-BE49-F238E27FC236}">
              <a16:creationId xmlns:a16="http://schemas.microsoft.com/office/drawing/2014/main" id="{9FE6572A-71F1-47D8-8387-7FE6CB5447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076A4F1A-EAF6-4216-9052-CF2962E5AF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8" name="AutoShape 15">
          <a:extLst>
            <a:ext uri="{FF2B5EF4-FFF2-40B4-BE49-F238E27FC236}">
              <a16:creationId xmlns:a16="http://schemas.microsoft.com/office/drawing/2014/main" id="{BAD8F652-1CC2-4509-BB48-05A90D25D8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9" name="AutoShape 14">
          <a:extLst>
            <a:ext uri="{FF2B5EF4-FFF2-40B4-BE49-F238E27FC236}">
              <a16:creationId xmlns:a16="http://schemas.microsoft.com/office/drawing/2014/main" id="{05BAA3A6-037B-4832-9FE0-E59E9826FB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60" name="AutoShape 20">
          <a:extLst>
            <a:ext uri="{FF2B5EF4-FFF2-40B4-BE49-F238E27FC236}">
              <a16:creationId xmlns:a16="http://schemas.microsoft.com/office/drawing/2014/main" id="{F4C83DB1-76F1-4C66-AC33-61AA3A55C0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61" name="AutoShape 19">
          <a:extLst>
            <a:ext uri="{FF2B5EF4-FFF2-40B4-BE49-F238E27FC236}">
              <a16:creationId xmlns:a16="http://schemas.microsoft.com/office/drawing/2014/main" id="{A349E056-0051-40D5-A1BF-6C3EAEDA28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62" name="AutoShape 18">
          <a:extLst>
            <a:ext uri="{FF2B5EF4-FFF2-40B4-BE49-F238E27FC236}">
              <a16:creationId xmlns:a16="http://schemas.microsoft.com/office/drawing/2014/main" id="{26B22754-D30E-421F-A254-89AE8861A0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63" name="AutoShape 17">
          <a:extLst>
            <a:ext uri="{FF2B5EF4-FFF2-40B4-BE49-F238E27FC236}">
              <a16:creationId xmlns:a16="http://schemas.microsoft.com/office/drawing/2014/main" id="{E2A63CDC-D8F1-4B86-8821-E384A86BB2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8" name="AutoShape 16">
          <a:extLst>
            <a:ext uri="{FF2B5EF4-FFF2-40B4-BE49-F238E27FC236}">
              <a16:creationId xmlns:a16="http://schemas.microsoft.com/office/drawing/2014/main" id="{261F9553-DCA9-4F4A-9107-A6267CDDF1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89" name="AutoShape 15">
          <a:extLst>
            <a:ext uri="{FF2B5EF4-FFF2-40B4-BE49-F238E27FC236}">
              <a16:creationId xmlns:a16="http://schemas.microsoft.com/office/drawing/2014/main" id="{37DABBA3-97AE-4681-B594-1A6277AFAB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0" name="AutoShape 14">
          <a:extLst>
            <a:ext uri="{FF2B5EF4-FFF2-40B4-BE49-F238E27FC236}">
              <a16:creationId xmlns:a16="http://schemas.microsoft.com/office/drawing/2014/main" id="{9B4F3996-88DB-4FB9-868D-50B411E89D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1" name="AutoShape 20">
          <a:extLst>
            <a:ext uri="{FF2B5EF4-FFF2-40B4-BE49-F238E27FC236}">
              <a16:creationId xmlns:a16="http://schemas.microsoft.com/office/drawing/2014/main" id="{3AA2F1D5-98CD-4E3A-934B-06371E21719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2" name="AutoShape 19">
          <a:extLst>
            <a:ext uri="{FF2B5EF4-FFF2-40B4-BE49-F238E27FC236}">
              <a16:creationId xmlns:a16="http://schemas.microsoft.com/office/drawing/2014/main" id="{E450FBBF-C386-4B67-975B-23DC5048DE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3" name="AutoShape 18">
          <a:extLst>
            <a:ext uri="{FF2B5EF4-FFF2-40B4-BE49-F238E27FC236}">
              <a16:creationId xmlns:a16="http://schemas.microsoft.com/office/drawing/2014/main" id="{BC6760F2-F831-45AF-BC89-2E64464ED3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4" name="AutoShape 17">
          <a:extLst>
            <a:ext uri="{FF2B5EF4-FFF2-40B4-BE49-F238E27FC236}">
              <a16:creationId xmlns:a16="http://schemas.microsoft.com/office/drawing/2014/main" id="{F5F93A5B-4EDB-436A-A976-FEDBC50211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5" name="AutoShape 16">
          <a:extLst>
            <a:ext uri="{FF2B5EF4-FFF2-40B4-BE49-F238E27FC236}">
              <a16:creationId xmlns:a16="http://schemas.microsoft.com/office/drawing/2014/main" id="{C14A6AE4-523D-41F6-9763-63A2D02B1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6" name="AutoShape 15">
          <a:extLst>
            <a:ext uri="{FF2B5EF4-FFF2-40B4-BE49-F238E27FC236}">
              <a16:creationId xmlns:a16="http://schemas.microsoft.com/office/drawing/2014/main" id="{C5E3344B-A5D1-468B-8C9A-6A1ED6A388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7" name="AutoShape 14">
          <a:extLst>
            <a:ext uri="{FF2B5EF4-FFF2-40B4-BE49-F238E27FC236}">
              <a16:creationId xmlns:a16="http://schemas.microsoft.com/office/drawing/2014/main" id="{D1AE440E-122F-4CE7-A708-381B71F464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8" name="AutoShape 20">
          <a:extLst>
            <a:ext uri="{FF2B5EF4-FFF2-40B4-BE49-F238E27FC236}">
              <a16:creationId xmlns:a16="http://schemas.microsoft.com/office/drawing/2014/main" id="{8229E925-9AC9-4182-B900-C1379DA544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199" name="AutoShape 19">
          <a:extLst>
            <a:ext uri="{FF2B5EF4-FFF2-40B4-BE49-F238E27FC236}">
              <a16:creationId xmlns:a16="http://schemas.microsoft.com/office/drawing/2014/main" id="{A5084ABB-8646-4F94-944A-AD51EFDDEB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00" name="AutoShape 18">
          <a:extLst>
            <a:ext uri="{FF2B5EF4-FFF2-40B4-BE49-F238E27FC236}">
              <a16:creationId xmlns:a16="http://schemas.microsoft.com/office/drawing/2014/main" id="{8BDDBAB1-98F4-4DA5-B718-C6EE5EADBD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01" name="AutoShape 17">
          <a:extLst>
            <a:ext uri="{FF2B5EF4-FFF2-40B4-BE49-F238E27FC236}">
              <a16:creationId xmlns:a16="http://schemas.microsoft.com/office/drawing/2014/main" id="{B8ABE622-291A-49AB-97AF-E4B60AEC1A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02" name="AutoShape 16">
          <a:extLst>
            <a:ext uri="{FF2B5EF4-FFF2-40B4-BE49-F238E27FC236}">
              <a16:creationId xmlns:a16="http://schemas.microsoft.com/office/drawing/2014/main" id="{700B3E1C-2232-46F4-B472-5914FB8B47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03" name="AutoShape 15">
          <a:extLst>
            <a:ext uri="{FF2B5EF4-FFF2-40B4-BE49-F238E27FC236}">
              <a16:creationId xmlns:a16="http://schemas.microsoft.com/office/drawing/2014/main" id="{E5E75CCF-2FCA-4223-AFD6-EE6CC411E9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485775</xdr:colOff>
      <xdr:row>56</xdr:row>
      <xdr:rowOff>47625</xdr:rowOff>
    </xdr:to>
    <xdr:sp macro="" textlink="">
      <xdr:nvSpPr>
        <xdr:cNvPr id="5204" name="AutoShape 14">
          <a:extLst>
            <a:ext uri="{FF2B5EF4-FFF2-40B4-BE49-F238E27FC236}">
              <a16:creationId xmlns:a16="http://schemas.microsoft.com/office/drawing/2014/main" id="{187B4937-E824-4B40-886D-C023E54A30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34"/>
  <sheetViews>
    <sheetView tabSelected="1" view="pageBreakPreview" topLeftCell="A5" zoomScaleNormal="100" workbookViewId="0">
      <selection activeCell="A7" sqref="A7"/>
    </sheetView>
  </sheetViews>
  <sheetFormatPr defaultRowHeight="12.75" x14ac:dyDescent="0.2"/>
  <cols>
    <col min="1" max="1" width="44.5703125" style="1" customWidth="1"/>
    <col min="2" max="2" width="16" style="1" customWidth="1"/>
    <col min="3" max="3" width="11.85546875" style="1" customWidth="1"/>
    <col min="4" max="4" width="14.7109375" style="2" customWidth="1"/>
    <col min="5" max="5" width="15.42578125" style="2" customWidth="1"/>
    <col min="6" max="6" width="13.28515625" style="2" customWidth="1"/>
    <col min="7" max="7" width="28.140625" style="2" customWidth="1"/>
    <col min="8" max="8" width="9.140625" style="1" customWidth="1"/>
    <col min="9" max="9" width="14.5703125" style="1" customWidth="1"/>
    <col min="10" max="10" width="13.42578125" style="1" customWidth="1"/>
    <col min="11" max="1025" width="9.140625" style="1" customWidth="1"/>
  </cols>
  <sheetData>
    <row r="1" spans="1:7" hidden="1" x14ac:dyDescent="0.2">
      <c r="A1" s="3" t="s">
        <v>0</v>
      </c>
    </row>
    <row r="2" spans="1:7" hidden="1" x14ac:dyDescent="0.2">
      <c r="A2" s="4" t="s">
        <v>1</v>
      </c>
    </row>
    <row r="3" spans="1:7" s="5" customFormat="1" ht="15.6" hidden="1" customHeight="1" x14ac:dyDescent="0.2">
      <c r="A3" s="1" t="s">
        <v>2</v>
      </c>
      <c r="C3" s="6"/>
      <c r="D3" s="6"/>
      <c r="E3" s="6"/>
      <c r="F3" s="6"/>
      <c r="G3" s="7"/>
    </row>
    <row r="4" spans="1:7" s="5" customFormat="1" ht="15.6" hidden="1" customHeight="1" x14ac:dyDescent="0.2">
      <c r="A4" s="4" t="s">
        <v>3</v>
      </c>
      <c r="B4" s="6"/>
      <c r="C4" s="6"/>
      <c r="D4" s="6"/>
      <c r="E4" s="6"/>
      <c r="F4" s="6"/>
      <c r="G4" s="7"/>
    </row>
    <row r="5" spans="1:7" s="5" customFormat="1" ht="15.6" customHeight="1" x14ac:dyDescent="0.2">
      <c r="A5" s="8"/>
      <c r="B5" s="6"/>
      <c r="C5" s="6"/>
      <c r="D5" s="6"/>
      <c r="E5" s="6"/>
      <c r="F5" s="6"/>
      <c r="G5" s="7"/>
    </row>
    <row r="6" spans="1:7" s="5" customFormat="1" ht="15.6" customHeight="1" x14ac:dyDescent="0.2">
      <c r="A6" s="8"/>
      <c r="B6" s="263" t="s">
        <v>322</v>
      </c>
      <c r="C6" s="6"/>
      <c r="D6" s="6"/>
      <c r="E6" s="6"/>
      <c r="F6" s="6"/>
      <c r="G6" s="7"/>
    </row>
    <row r="7" spans="1:7" s="5" customFormat="1" ht="16.5" customHeight="1" x14ac:dyDescent="0.2">
      <c r="A7" s="1"/>
      <c r="B7" s="9"/>
      <c r="C7" s="9"/>
      <c r="D7" s="7"/>
      <c r="E7" s="7"/>
      <c r="F7" s="7"/>
      <c r="G7" s="7"/>
    </row>
    <row r="8" spans="1:7" s="11" customFormat="1" ht="18" x14ac:dyDescent="0.2">
      <c r="A8" s="291" t="s">
        <v>321</v>
      </c>
      <c r="B8" s="291"/>
      <c r="C8" s="291"/>
      <c r="D8" s="291"/>
      <c r="E8" s="291"/>
      <c r="F8" s="291"/>
      <c r="G8" s="10"/>
    </row>
    <row r="9" spans="1:7" s="11" customFormat="1" ht="21.75" customHeight="1" x14ac:dyDescent="0.2">
      <c r="A9" s="292" t="s">
        <v>4</v>
      </c>
      <c r="B9" s="292"/>
      <c r="C9" s="292"/>
      <c r="D9" s="292"/>
      <c r="E9" s="292"/>
      <c r="F9" s="292"/>
      <c r="G9" s="10"/>
    </row>
    <row r="10" spans="1:7" s="5" customFormat="1" ht="10.9" customHeight="1" x14ac:dyDescent="0.2">
      <c r="A10" s="12"/>
      <c r="B10" s="6"/>
      <c r="C10" s="6"/>
      <c r="D10" s="7"/>
      <c r="E10" s="7"/>
      <c r="F10" s="13"/>
      <c r="G10" s="7"/>
    </row>
    <row r="11" spans="1:7" s="5" customFormat="1" ht="15.75" customHeight="1" x14ac:dyDescent="0.2">
      <c r="A11" s="293" t="s">
        <v>5</v>
      </c>
      <c r="B11" s="293"/>
      <c r="C11" s="293"/>
      <c r="D11" s="293"/>
      <c r="E11" s="293"/>
      <c r="F11" s="293"/>
      <c r="G11" s="7"/>
    </row>
    <row r="12" spans="1:7" s="5" customFormat="1" ht="15.75" customHeight="1" x14ac:dyDescent="0.2">
      <c r="A12" s="14" t="s">
        <v>6</v>
      </c>
      <c r="B12" s="15"/>
      <c r="C12" s="15"/>
      <c r="D12" s="16"/>
      <c r="E12" s="17" t="s">
        <v>7</v>
      </c>
      <c r="F12" s="18" t="s">
        <v>8</v>
      </c>
      <c r="G12" s="7"/>
    </row>
    <row r="13" spans="1:7" s="3" customFormat="1" ht="15.75" customHeight="1" x14ac:dyDescent="0.2">
      <c r="A13" s="19" t="str">
        <f>A51</f>
        <v>1. Mão-de-obra</v>
      </c>
      <c r="B13" s="20"/>
      <c r="C13" s="21"/>
      <c r="D13" s="21"/>
      <c r="E13" s="22">
        <f>+F141</f>
        <v>5879.9953716</v>
      </c>
      <c r="F13" s="23">
        <f t="shared" ref="F13:F33" si="0">IFERROR(E13/$E$34,0)</f>
        <v>0.2420910586025434</v>
      </c>
      <c r="G13" s="24"/>
    </row>
    <row r="14" spans="1:7" s="5" customFormat="1" ht="15.75" customHeight="1" x14ac:dyDescent="0.2">
      <c r="A14" s="25" t="str">
        <f>A53</f>
        <v>1.1. Coletor Turno Dia</v>
      </c>
      <c r="B14" s="26"/>
      <c r="C14" s="27"/>
      <c r="D14" s="27"/>
      <c r="E14" s="28">
        <f>F64</f>
        <v>3826.2745836000004</v>
      </c>
      <c r="F14" s="29">
        <f t="shared" si="0"/>
        <v>0.15753530503131563</v>
      </c>
      <c r="G14" s="7"/>
    </row>
    <row r="15" spans="1:7" s="5" customFormat="1" ht="15.75" customHeight="1" x14ac:dyDescent="0.2">
      <c r="A15" s="25" t="str">
        <f>A66</f>
        <v>1.2. Coletor Turno Noite</v>
      </c>
      <c r="B15" s="26"/>
      <c r="C15" s="27"/>
      <c r="D15" s="27"/>
      <c r="E15" s="28">
        <f>F83</f>
        <v>0</v>
      </c>
      <c r="F15" s="29">
        <f t="shared" si="0"/>
        <v>0</v>
      </c>
      <c r="G15" s="7"/>
    </row>
    <row r="16" spans="1:7" s="5" customFormat="1" ht="15.75" customHeight="1" x14ac:dyDescent="0.2">
      <c r="A16" s="25" t="str">
        <f>A85</f>
        <v>1.3. Motorista Turno do Dia</v>
      </c>
      <c r="B16" s="26"/>
      <c r="C16" s="27"/>
      <c r="D16" s="27"/>
      <c r="E16" s="28">
        <f>F98</f>
        <v>1491.5927879999999</v>
      </c>
      <c r="F16" s="29">
        <f t="shared" si="0"/>
        <v>6.1411830151250638E-2</v>
      </c>
      <c r="G16" s="7"/>
    </row>
    <row r="17" spans="1:7" s="5" customFormat="1" ht="15.75" customHeight="1" x14ac:dyDescent="0.2">
      <c r="A17" s="25" t="str">
        <f>A100</f>
        <v>1.4. Motorista Turno Noite</v>
      </c>
      <c r="B17" s="26"/>
      <c r="C17" s="27"/>
      <c r="D17" s="27"/>
      <c r="E17" s="28">
        <f>F119</f>
        <v>0</v>
      </c>
      <c r="F17" s="29">
        <f t="shared" si="0"/>
        <v>0</v>
      </c>
      <c r="G17" s="7"/>
    </row>
    <row r="18" spans="1:7" s="5" customFormat="1" ht="15.75" customHeight="1" x14ac:dyDescent="0.2">
      <c r="A18" s="25" t="str">
        <f>A121</f>
        <v>1.5. Vale Transporte</v>
      </c>
      <c r="B18" s="26"/>
      <c r="C18" s="27"/>
      <c r="D18" s="27"/>
      <c r="E18" s="28">
        <f>F127</f>
        <v>0</v>
      </c>
      <c r="F18" s="29">
        <f t="shared" si="0"/>
        <v>0</v>
      </c>
      <c r="G18" s="7"/>
    </row>
    <row r="19" spans="1:7" s="5" customFormat="1" ht="15.75" customHeight="1" x14ac:dyDescent="0.2">
      <c r="A19" s="25" t="str">
        <f>A129</f>
        <v>1.6. Vale-refeição (diário)</v>
      </c>
      <c r="B19" s="26"/>
      <c r="C19" s="27"/>
      <c r="D19" s="27"/>
      <c r="E19" s="28">
        <f>F133</f>
        <v>0</v>
      </c>
      <c r="F19" s="29">
        <f t="shared" si="0"/>
        <v>0</v>
      </c>
      <c r="G19" s="7"/>
    </row>
    <row r="20" spans="1:7" s="5" customFormat="1" ht="15.75" customHeight="1" x14ac:dyDescent="0.2">
      <c r="A20" s="25" t="str">
        <f>A135</f>
        <v>1.7. Auxílio Alimentação (mensal)</v>
      </c>
      <c r="B20" s="26"/>
      <c r="C20" s="27"/>
      <c r="D20" s="27"/>
      <c r="E20" s="28">
        <f>F139</f>
        <v>562.12800000000004</v>
      </c>
      <c r="F20" s="29">
        <f t="shared" si="0"/>
        <v>2.3143923419977157E-2</v>
      </c>
      <c r="G20" s="7"/>
    </row>
    <row r="21" spans="1:7" s="3" customFormat="1" ht="15.75" customHeight="1" x14ac:dyDescent="0.2">
      <c r="A21" s="294" t="str">
        <f>A143</f>
        <v>2. Uniformes e Equipamentos de Proteção Individual</v>
      </c>
      <c r="B21" s="294"/>
      <c r="C21" s="294"/>
      <c r="D21" s="21"/>
      <c r="E21" s="22">
        <f>+F175</f>
        <v>232.77</v>
      </c>
      <c r="F21" s="23">
        <f t="shared" si="0"/>
        <v>9.5836020523227504E-3</v>
      </c>
      <c r="G21" s="24"/>
    </row>
    <row r="22" spans="1:7" s="3" customFormat="1" ht="15.75" customHeight="1" x14ac:dyDescent="0.2">
      <c r="A22" s="30" t="str">
        <f>A177</f>
        <v>3. Veículos e Equipamentos</v>
      </c>
      <c r="B22" s="31"/>
      <c r="C22" s="21"/>
      <c r="D22" s="21"/>
      <c r="E22" s="22">
        <f>+F254</f>
        <v>6304.420286831667</v>
      </c>
      <c r="F22" s="23">
        <f t="shared" si="0"/>
        <v>0.25956547321211987</v>
      </c>
      <c r="G22" s="24"/>
    </row>
    <row r="23" spans="1:7" s="5" customFormat="1" ht="15.75" customHeight="1" x14ac:dyDescent="0.2">
      <c r="A23" s="32" t="str">
        <f>A179</f>
        <v>3.1. Veículo Coletor Compactador 15 m³</v>
      </c>
      <c r="B23" s="33"/>
      <c r="C23" s="27"/>
      <c r="D23" s="27"/>
      <c r="E23" s="28">
        <f>SUM(E24:E29)</f>
        <v>6304.420286831667</v>
      </c>
      <c r="F23" s="34">
        <f t="shared" si="0"/>
        <v>0.25956547321211987</v>
      </c>
      <c r="G23" s="7"/>
    </row>
    <row r="24" spans="1:7" s="5" customFormat="1" ht="15.75" customHeight="1" x14ac:dyDescent="0.2">
      <c r="A24" s="32" t="str">
        <f>A181</f>
        <v>3.1.1. Depreciação</v>
      </c>
      <c r="B24" s="33"/>
      <c r="C24" s="27"/>
      <c r="D24" s="27"/>
      <c r="E24" s="28">
        <f>F195</f>
        <v>653.24916866666683</v>
      </c>
      <c r="F24" s="34">
        <f t="shared" si="0"/>
        <v>2.6895562458701713E-2</v>
      </c>
      <c r="G24" s="7"/>
    </row>
    <row r="25" spans="1:7" s="5" customFormat="1" ht="15.75" customHeight="1" x14ac:dyDescent="0.2">
      <c r="A25" s="32" t="str">
        <f>A197</f>
        <v>3.1.2. Remuneração do Capital</v>
      </c>
      <c r="B25" s="33"/>
      <c r="C25" s="27"/>
      <c r="D25" s="27"/>
      <c r="E25" s="28">
        <f>F211</f>
        <v>460.36978483166672</v>
      </c>
      <c r="F25" s="34">
        <f t="shared" si="0"/>
        <v>1.8954336103192609E-2</v>
      </c>
      <c r="G25" s="7"/>
    </row>
    <row r="26" spans="1:7" s="5" customFormat="1" ht="15.75" customHeight="1" x14ac:dyDescent="0.2">
      <c r="A26" s="32" t="str">
        <f>A213</f>
        <v>3.1.3. Impostos e Seguros</v>
      </c>
      <c r="B26" s="33"/>
      <c r="C26" s="27"/>
      <c r="D26" s="27"/>
      <c r="E26" s="28">
        <f>F219</f>
        <v>175.22233333333335</v>
      </c>
      <c r="F26" s="34">
        <f t="shared" si="0"/>
        <v>7.2142506050870579E-3</v>
      </c>
      <c r="G26" s="7"/>
    </row>
    <row r="27" spans="1:7" s="5" customFormat="1" ht="15.75" customHeight="1" x14ac:dyDescent="0.2">
      <c r="A27" s="32" t="str">
        <f>A221</f>
        <v>3.1.4. Consumos</v>
      </c>
      <c r="B27" s="33"/>
      <c r="C27" s="27"/>
      <c r="D27" s="27"/>
      <c r="E27" s="28">
        <f>F237</f>
        <v>3442.1549999999997</v>
      </c>
      <c r="F27" s="34">
        <f t="shared" si="0"/>
        <v>0.14172034077592907</v>
      </c>
      <c r="G27" s="7"/>
    </row>
    <row r="28" spans="1:7" s="5" customFormat="1" ht="15.75" customHeight="1" x14ac:dyDescent="0.2">
      <c r="A28" s="32" t="str">
        <f>A239</f>
        <v>3.1.5. Manutenção</v>
      </c>
      <c r="B28" s="33"/>
      <c r="C28" s="27"/>
      <c r="D28" s="27"/>
      <c r="E28" s="28">
        <f>F242</f>
        <v>638</v>
      </c>
      <c r="F28" s="34">
        <f t="shared" si="0"/>
        <v>2.6267723973802098E-2</v>
      </c>
      <c r="G28" s="7"/>
    </row>
    <row r="29" spans="1:7" s="5" customFormat="1" ht="15.75" customHeight="1" x14ac:dyDescent="0.2">
      <c r="A29" s="32" t="str">
        <f>A244</f>
        <v>3.1.6. Pneus</v>
      </c>
      <c r="B29" s="33"/>
      <c r="C29" s="27"/>
      <c r="D29" s="27"/>
      <c r="E29" s="28">
        <f>F251</f>
        <v>935.42400000000009</v>
      </c>
      <c r="F29" s="34">
        <f t="shared" si="0"/>
        <v>3.8513259295407297E-2</v>
      </c>
      <c r="G29" s="7"/>
    </row>
    <row r="30" spans="1:7" s="3" customFormat="1" ht="15.75" customHeight="1" x14ac:dyDescent="0.2">
      <c r="A30" s="30" t="str">
        <f>A256</f>
        <v>4. Ferramentas e Materiais de Consumo</v>
      </c>
      <c r="B30" s="31"/>
      <c r="C30" s="21"/>
      <c r="D30" s="21"/>
      <c r="E30" s="22">
        <f>+F266</f>
        <v>77.2</v>
      </c>
      <c r="F30" s="23">
        <f t="shared" si="0"/>
        <v>3.1784769447923541E-3</v>
      </c>
      <c r="G30" s="24"/>
    </row>
    <row r="31" spans="1:7" s="3" customFormat="1" ht="15.75" customHeight="1" x14ac:dyDescent="0.2">
      <c r="A31" s="30" t="str">
        <f>A268</f>
        <v>5. Monitoramento da Frota</v>
      </c>
      <c r="B31" s="31"/>
      <c r="C31" s="21"/>
      <c r="D31" s="21"/>
      <c r="E31" s="22">
        <f>+F277</f>
        <v>32.333333333333336</v>
      </c>
      <c r="F31" s="23">
        <f t="shared" si="0"/>
        <v>1.3312273905218409E-3</v>
      </c>
      <c r="G31" s="24"/>
    </row>
    <row r="32" spans="1:7" s="3" customFormat="1" ht="15.75" customHeight="1" x14ac:dyDescent="0.2">
      <c r="A32" s="30" t="str">
        <f>A279</f>
        <v>6. Destinação Final</v>
      </c>
      <c r="B32" s="31"/>
      <c r="C32" s="21"/>
      <c r="D32" s="21"/>
      <c r="E32" s="35">
        <f>F282</f>
        <v>5978.7</v>
      </c>
      <c r="F32" s="23">
        <f t="shared" si="0"/>
        <v>0.24615492370246175</v>
      </c>
      <c r="G32" s="24"/>
    </row>
    <row r="33" spans="1:7" s="3" customFormat="1" ht="15.75" customHeight="1" x14ac:dyDescent="0.2">
      <c r="A33" s="30" t="str">
        <f>A286</f>
        <v>7. Benefícios e Despesas Indiretas - BDI</v>
      </c>
      <c r="B33" s="31"/>
      <c r="C33" s="21"/>
      <c r="D33" s="21"/>
      <c r="E33" s="36">
        <f>+F292</f>
        <v>5782.9434349265621</v>
      </c>
      <c r="F33" s="23">
        <f t="shared" si="0"/>
        <v>0.23809523809523808</v>
      </c>
      <c r="G33" s="24"/>
    </row>
    <row r="34" spans="1:7" s="5" customFormat="1" ht="15.75" customHeight="1" x14ac:dyDescent="0.2">
      <c r="A34" s="37" t="s">
        <v>9</v>
      </c>
      <c r="B34" s="38"/>
      <c r="C34" s="39"/>
      <c r="D34" s="39"/>
      <c r="E34" s="40">
        <f>E13+E21+E22+E30+E31+E32+E33</f>
        <v>24288.362426691561</v>
      </c>
      <c r="F34" s="41">
        <f>F13+F21+F22+F30+F31+F32+F33</f>
        <v>1</v>
      </c>
      <c r="G34" s="7"/>
    </row>
    <row r="37" spans="1:7" s="5" customFormat="1" ht="15" customHeight="1" x14ac:dyDescent="0.2">
      <c r="A37" s="293" t="s">
        <v>10</v>
      </c>
      <c r="B37" s="293"/>
      <c r="C37" s="293"/>
      <c r="D37" s="293"/>
      <c r="E37" s="293"/>
      <c r="F37" s="2"/>
      <c r="G37" s="7"/>
    </row>
    <row r="38" spans="1:7" s="5" customFormat="1" ht="15" customHeight="1" x14ac:dyDescent="0.2">
      <c r="A38" s="289" t="s">
        <v>11</v>
      </c>
      <c r="B38" s="289"/>
      <c r="C38" s="289"/>
      <c r="D38" s="289"/>
      <c r="E38" s="42" t="s">
        <v>12</v>
      </c>
      <c r="F38" s="2"/>
      <c r="G38" s="7"/>
    </row>
    <row r="39" spans="1:7" s="5" customFormat="1" ht="15" customHeight="1" x14ac:dyDescent="0.2">
      <c r="A39" s="43" t="str">
        <f>+A53</f>
        <v>1.1. Coletor Turno Dia</v>
      </c>
      <c r="B39" s="44"/>
      <c r="C39" s="44"/>
      <c r="D39" s="45"/>
      <c r="E39" s="46">
        <f>C63</f>
        <v>3</v>
      </c>
      <c r="F39" s="2"/>
      <c r="G39" s="7"/>
    </row>
    <row r="40" spans="1:7" s="5" customFormat="1" ht="15" customHeight="1" x14ac:dyDescent="0.2">
      <c r="A40" s="47" t="str">
        <f>+A66</f>
        <v>1.2. Coletor Turno Noite</v>
      </c>
      <c r="B40" s="48"/>
      <c r="C40" s="48"/>
      <c r="D40" s="49"/>
      <c r="E40" s="50">
        <f>C82</f>
        <v>0</v>
      </c>
      <c r="F40" s="2"/>
      <c r="G40" s="7"/>
    </row>
    <row r="41" spans="1:7" s="5" customFormat="1" ht="15" customHeight="1" x14ac:dyDescent="0.2">
      <c r="A41" s="47" t="str">
        <f>+A85</f>
        <v>1.3. Motorista Turno do Dia</v>
      </c>
      <c r="B41" s="48"/>
      <c r="C41" s="48"/>
      <c r="D41" s="49"/>
      <c r="E41" s="50">
        <f>C97</f>
        <v>1</v>
      </c>
      <c r="F41" s="2"/>
      <c r="G41" s="7"/>
    </row>
    <row r="42" spans="1:7" s="5" customFormat="1" ht="15" customHeight="1" x14ac:dyDescent="0.2">
      <c r="A42" s="47" t="str">
        <f>+A100</f>
        <v>1.4. Motorista Turno Noite</v>
      </c>
      <c r="B42" s="48"/>
      <c r="C42" s="48"/>
      <c r="D42" s="49"/>
      <c r="E42" s="50">
        <f>C118</f>
        <v>0</v>
      </c>
      <c r="F42" s="2"/>
      <c r="G42" s="7"/>
    </row>
    <row r="43" spans="1:7" s="5" customFormat="1" ht="15" customHeight="1" x14ac:dyDescent="0.2">
      <c r="A43" s="51" t="s">
        <v>13</v>
      </c>
      <c r="B43" s="52"/>
      <c r="C43" s="52"/>
      <c r="D43" s="53"/>
      <c r="E43" s="54">
        <f>SUM(E39:E42)</f>
        <v>4</v>
      </c>
      <c r="F43" s="2"/>
      <c r="G43" s="7"/>
    </row>
    <row r="44" spans="1:7" s="5" customFormat="1" ht="15" customHeight="1" x14ac:dyDescent="0.2">
      <c r="A44" s="55"/>
      <c r="B44" s="56"/>
      <c r="C44" s="2"/>
      <c r="D44" s="2"/>
      <c r="E44" s="57"/>
      <c r="F44" s="2"/>
      <c r="G44" s="7"/>
    </row>
    <row r="45" spans="1:7" s="5" customFormat="1" ht="15" customHeight="1" x14ac:dyDescent="0.2">
      <c r="A45" s="290" t="s">
        <v>14</v>
      </c>
      <c r="B45" s="290"/>
      <c r="C45" s="290"/>
      <c r="D45" s="290"/>
      <c r="E45" s="42" t="s">
        <v>12</v>
      </c>
      <c r="F45" s="1"/>
      <c r="G45" s="7"/>
    </row>
    <row r="46" spans="1:7" s="5" customFormat="1" ht="15" customHeight="1" x14ac:dyDescent="0.2">
      <c r="A46" s="58" t="str">
        <f>+A179</f>
        <v>3.1. Veículo Coletor Compactador 15 m³</v>
      </c>
      <c r="B46" s="59"/>
      <c r="C46" s="59"/>
      <c r="D46" s="60"/>
      <c r="E46" s="61">
        <f>C194</f>
        <v>1</v>
      </c>
      <c r="F46" s="1"/>
      <c r="G46" s="7"/>
    </row>
    <row r="47" spans="1:7" s="5" customFormat="1" ht="15" customHeight="1" x14ac:dyDescent="0.2">
      <c r="A47" s="2"/>
      <c r="B47" s="2"/>
      <c r="C47" s="2"/>
      <c r="D47" s="8"/>
      <c r="E47" s="62"/>
      <c r="F47" s="1"/>
      <c r="G47" s="7"/>
    </row>
    <row r="48" spans="1:7" s="5" customFormat="1" x14ac:dyDescent="0.2">
      <c r="A48" s="2"/>
      <c r="B48" s="2"/>
      <c r="C48" s="2"/>
      <c r="D48" s="8"/>
      <c r="E48" s="63"/>
      <c r="F48" s="1"/>
      <c r="G48" s="7"/>
    </row>
    <row r="49" spans="1:7" s="3" customFormat="1" ht="15.75" customHeight="1" x14ac:dyDescent="0.2">
      <c r="A49" s="64" t="s">
        <v>15</v>
      </c>
      <c r="B49" s="264">
        <v>0.4</v>
      </c>
      <c r="C49" s="24"/>
      <c r="D49" s="65"/>
      <c r="E49" s="66"/>
      <c r="G49" s="24"/>
    </row>
    <row r="50" spans="1:7" s="5" customFormat="1" ht="15.75" customHeight="1" x14ac:dyDescent="0.2">
      <c r="A50" s="2"/>
      <c r="B50" s="2"/>
      <c r="C50" s="2"/>
      <c r="D50" s="8"/>
      <c r="E50" s="63"/>
      <c r="F50" s="1"/>
      <c r="G50" s="7"/>
    </row>
    <row r="51" spans="1:7" ht="13.15" customHeight="1" x14ac:dyDescent="0.2">
      <c r="A51" s="3" t="s">
        <v>16</v>
      </c>
    </row>
    <row r="52" spans="1:7" ht="11.25" customHeight="1" x14ac:dyDescent="0.2"/>
    <row r="53" spans="1:7" ht="13.9" customHeight="1" x14ac:dyDescent="0.2">
      <c r="A53" s="1" t="s">
        <v>17</v>
      </c>
    </row>
    <row r="54" spans="1:7" ht="13.9" customHeight="1" x14ac:dyDescent="0.2">
      <c r="A54" s="67" t="s">
        <v>18</v>
      </c>
      <c r="B54" s="68" t="s">
        <v>19</v>
      </c>
      <c r="C54" s="68" t="s">
        <v>12</v>
      </c>
      <c r="D54" s="69" t="s">
        <v>20</v>
      </c>
      <c r="E54" s="69" t="s">
        <v>21</v>
      </c>
      <c r="F54" s="70" t="s">
        <v>22</v>
      </c>
    </row>
    <row r="55" spans="1:7" ht="13.15" customHeight="1" x14ac:dyDescent="0.2">
      <c r="A55" s="71" t="s">
        <v>23</v>
      </c>
      <c r="B55" s="72" t="s">
        <v>24</v>
      </c>
      <c r="C55" s="72">
        <v>1</v>
      </c>
      <c r="D55" s="265">
        <v>1330.73</v>
      </c>
      <c r="E55" s="73">
        <f>C55*D55</f>
        <v>1330.73</v>
      </c>
    </row>
    <row r="56" spans="1:7" hidden="1" x14ac:dyDescent="0.2">
      <c r="A56" s="74" t="s">
        <v>25</v>
      </c>
      <c r="B56" s="75" t="s">
        <v>26</v>
      </c>
      <c r="C56" s="76"/>
      <c r="D56" s="77">
        <f>D55/220*2</f>
        <v>12.097545454545454</v>
      </c>
      <c r="E56" s="77">
        <f>C56*D56</f>
        <v>0</v>
      </c>
      <c r="G56" s="2" t="s">
        <v>27</v>
      </c>
    </row>
    <row r="57" spans="1:7" ht="13.15" hidden="1" customHeight="1" x14ac:dyDescent="0.2">
      <c r="A57" s="74" t="s">
        <v>28</v>
      </c>
      <c r="B57" s="75" t="s">
        <v>26</v>
      </c>
      <c r="C57" s="76"/>
      <c r="D57" s="77">
        <f>D55/220*1.5</f>
        <v>9.0731590909090905</v>
      </c>
      <c r="E57" s="77">
        <f>C57*D57</f>
        <v>0</v>
      </c>
      <c r="G57" s="2" t="s">
        <v>29</v>
      </c>
    </row>
    <row r="58" spans="1:7" ht="13.15" hidden="1" customHeight="1" x14ac:dyDescent="0.2">
      <c r="A58" s="74" t="s">
        <v>30</v>
      </c>
      <c r="B58" s="75" t="s">
        <v>31</v>
      </c>
      <c r="D58" s="77">
        <f>63/302*(SUM(E56:E57))</f>
        <v>0</v>
      </c>
      <c r="E58" s="77">
        <f>D58</f>
        <v>0</v>
      </c>
      <c r="G58" s="2" t="s">
        <v>32</v>
      </c>
    </row>
    <row r="59" spans="1:7" x14ac:dyDescent="0.2">
      <c r="A59" s="74" t="s">
        <v>33</v>
      </c>
      <c r="B59" s="75" t="s">
        <v>8</v>
      </c>
      <c r="C59" s="75">
        <v>40</v>
      </c>
      <c r="D59" s="77">
        <f>SUM(E55:E58)</f>
        <v>1330.73</v>
      </c>
      <c r="E59" s="77">
        <f>C59*D59/100</f>
        <v>532.29199999999992</v>
      </c>
    </row>
    <row r="60" spans="1:7" x14ac:dyDescent="0.2">
      <c r="A60" s="78" t="s">
        <v>34</v>
      </c>
      <c r="B60" s="79"/>
      <c r="C60" s="79"/>
      <c r="D60" s="80"/>
      <c r="E60" s="81">
        <f>SUM(E55:E59)</f>
        <v>1863.0219999999999</v>
      </c>
    </row>
    <row r="61" spans="1:7" x14ac:dyDescent="0.2">
      <c r="A61" s="74" t="s">
        <v>35</v>
      </c>
      <c r="B61" s="75" t="s">
        <v>8</v>
      </c>
      <c r="C61" s="266">
        <f>'2.Encargos Sociais'!$C$34*100</f>
        <v>71.150000000000006</v>
      </c>
      <c r="D61" s="77">
        <f>E60</f>
        <v>1863.0219999999999</v>
      </c>
      <c r="E61" s="77">
        <f>D61*C61/100</f>
        <v>1325.5401529999999</v>
      </c>
    </row>
    <row r="62" spans="1:7" x14ac:dyDescent="0.2">
      <c r="A62" s="78" t="s">
        <v>36</v>
      </c>
      <c r="B62" s="79"/>
      <c r="C62" s="79"/>
      <c r="D62" s="80"/>
      <c r="E62" s="81">
        <f>E60+E61</f>
        <v>3188.5621529999999</v>
      </c>
    </row>
    <row r="63" spans="1:7" x14ac:dyDescent="0.2">
      <c r="A63" s="74" t="s">
        <v>37</v>
      </c>
      <c r="B63" s="75" t="s">
        <v>38</v>
      </c>
      <c r="C63" s="267">
        <v>3</v>
      </c>
      <c r="D63" s="77">
        <f>E62</f>
        <v>3188.5621529999999</v>
      </c>
      <c r="E63" s="77">
        <f>C63*D63</f>
        <v>9565.6864590000005</v>
      </c>
      <c r="G63" s="7"/>
    </row>
    <row r="64" spans="1:7" ht="13.9" customHeight="1" x14ac:dyDescent="0.2">
      <c r="D64" s="84" t="s">
        <v>39</v>
      </c>
      <c r="E64" s="85">
        <f>$B$49</f>
        <v>0.4</v>
      </c>
      <c r="F64" s="86">
        <f>E63*E64</f>
        <v>3826.2745836000004</v>
      </c>
      <c r="G64" s="7"/>
    </row>
    <row r="65" spans="1:7" ht="11.25" customHeight="1" x14ac:dyDescent="0.2"/>
    <row r="66" spans="1:7" hidden="1" x14ac:dyDescent="0.2">
      <c r="A66" s="1" t="s">
        <v>40</v>
      </c>
    </row>
    <row r="67" spans="1:7" hidden="1" x14ac:dyDescent="0.2">
      <c r="A67" s="67" t="s">
        <v>18</v>
      </c>
      <c r="B67" s="68" t="s">
        <v>19</v>
      </c>
      <c r="C67" s="68" t="s">
        <v>12</v>
      </c>
      <c r="D67" s="69" t="s">
        <v>20</v>
      </c>
      <c r="E67" s="69" t="s">
        <v>21</v>
      </c>
      <c r="F67" s="70" t="s">
        <v>22</v>
      </c>
    </row>
    <row r="68" spans="1:7" hidden="1" x14ac:dyDescent="0.2">
      <c r="A68" s="71" t="s">
        <v>23</v>
      </c>
      <c r="B68" s="72" t="s">
        <v>24</v>
      </c>
      <c r="C68" s="72">
        <v>1</v>
      </c>
      <c r="D68" s="73">
        <f>D55</f>
        <v>1330.73</v>
      </c>
      <c r="E68" s="73">
        <f>C68*D68</f>
        <v>1330.73</v>
      </c>
    </row>
    <row r="69" spans="1:7" hidden="1" x14ac:dyDescent="0.2">
      <c r="A69" s="74" t="s">
        <v>41</v>
      </c>
      <c r="B69" s="75" t="s">
        <v>42</v>
      </c>
      <c r="C69" s="76"/>
      <c r="D69" s="77"/>
      <c r="E69" s="77"/>
    </row>
    <row r="70" spans="1:7" hidden="1" x14ac:dyDescent="0.2">
      <c r="A70" s="74"/>
      <c r="B70" s="75" t="s">
        <v>43</v>
      </c>
      <c r="C70" s="87">
        <f>C69*8/7</f>
        <v>0</v>
      </c>
      <c r="D70" s="77">
        <f>D68/220*0.2</f>
        <v>1.2097545454545455</v>
      </c>
      <c r="E70" s="77">
        <f>C69*D70</f>
        <v>0</v>
      </c>
    </row>
    <row r="71" spans="1:7" hidden="1" x14ac:dyDescent="0.2">
      <c r="A71" s="74" t="s">
        <v>25</v>
      </c>
      <c r="B71" s="75" t="s">
        <v>26</v>
      </c>
      <c r="C71" s="76"/>
      <c r="D71" s="77">
        <f>D68/220*2</f>
        <v>12.097545454545454</v>
      </c>
      <c r="E71" s="77">
        <f>C71*D71</f>
        <v>0</v>
      </c>
      <c r="G71" s="2" t="s">
        <v>27</v>
      </c>
    </row>
    <row r="72" spans="1:7" hidden="1" x14ac:dyDescent="0.2">
      <c r="A72" s="74" t="s">
        <v>44</v>
      </c>
      <c r="B72" s="75" t="s">
        <v>42</v>
      </c>
      <c r="C72" s="76"/>
      <c r="D72" s="77"/>
      <c r="E72" s="77"/>
      <c r="G72" s="2" t="s">
        <v>45</v>
      </c>
    </row>
    <row r="73" spans="1:7" hidden="1" x14ac:dyDescent="0.2">
      <c r="A73" s="74"/>
      <c r="B73" s="75" t="s">
        <v>43</v>
      </c>
      <c r="C73" s="87">
        <f>C72*8/7</f>
        <v>0</v>
      </c>
      <c r="D73" s="77">
        <f>D68/220*2*1.2</f>
        <v>14.517054545454544</v>
      </c>
      <c r="E73" s="77">
        <f>C73*D73</f>
        <v>0</v>
      </c>
      <c r="G73" s="2" t="s">
        <v>45</v>
      </c>
    </row>
    <row r="74" spans="1:7" hidden="1" x14ac:dyDescent="0.2">
      <c r="A74" s="74" t="s">
        <v>28</v>
      </c>
      <c r="B74" s="75" t="s">
        <v>26</v>
      </c>
      <c r="C74" s="76"/>
      <c r="D74" s="77">
        <f>D68/220*1.5</f>
        <v>9.0731590909090905</v>
      </c>
      <c r="E74" s="77">
        <f>C74*D74</f>
        <v>0</v>
      </c>
      <c r="G74" s="2" t="s">
        <v>29</v>
      </c>
    </row>
    <row r="75" spans="1:7" hidden="1" x14ac:dyDescent="0.2">
      <c r="A75" s="74" t="s">
        <v>46</v>
      </c>
      <c r="B75" s="75" t="s">
        <v>42</v>
      </c>
      <c r="C75" s="76"/>
      <c r="D75" s="77"/>
      <c r="E75" s="77"/>
      <c r="G75" s="2" t="s">
        <v>47</v>
      </c>
    </row>
    <row r="76" spans="1:7" hidden="1" x14ac:dyDescent="0.2">
      <c r="A76" s="74"/>
      <c r="B76" s="75" t="s">
        <v>43</v>
      </c>
      <c r="C76" s="77">
        <f>C75*8/7</f>
        <v>0</v>
      </c>
      <c r="D76" s="77">
        <f>D68/220*1.5*1.2</f>
        <v>10.887790909090908</v>
      </c>
      <c r="E76" s="77">
        <f>C76*D76</f>
        <v>0</v>
      </c>
      <c r="G76" s="2" t="s">
        <v>47</v>
      </c>
    </row>
    <row r="77" spans="1:7" ht="13.15" hidden="1" customHeight="1" x14ac:dyDescent="0.2">
      <c r="A77" s="74" t="s">
        <v>30</v>
      </c>
      <c r="B77" s="75" t="s">
        <v>31</v>
      </c>
      <c r="D77" s="77">
        <f>63/302*(SUM(E71:E76))</f>
        <v>0</v>
      </c>
      <c r="E77" s="77">
        <f>D77</f>
        <v>0</v>
      </c>
      <c r="G77" s="2" t="s">
        <v>32</v>
      </c>
    </row>
    <row r="78" spans="1:7" hidden="1" x14ac:dyDescent="0.2">
      <c r="A78" s="74" t="s">
        <v>33</v>
      </c>
      <c r="B78" s="75" t="s">
        <v>8</v>
      </c>
      <c r="C78" s="75">
        <f>+C59</f>
        <v>40</v>
      </c>
      <c r="D78" s="77">
        <f>SUM(E68:E77)</f>
        <v>1330.73</v>
      </c>
      <c r="E78" s="77">
        <f>C78*D78/100</f>
        <v>532.29199999999992</v>
      </c>
    </row>
    <row r="79" spans="1:7" hidden="1" x14ac:dyDescent="0.2">
      <c r="A79" s="78" t="s">
        <v>34</v>
      </c>
      <c r="B79" s="79"/>
      <c r="C79" s="79"/>
      <c r="D79" s="80"/>
      <c r="E79" s="81">
        <f>SUM(E68:E78)</f>
        <v>1863.0219999999999</v>
      </c>
    </row>
    <row r="80" spans="1:7" hidden="1" x14ac:dyDescent="0.2">
      <c r="A80" s="74" t="s">
        <v>35</v>
      </c>
      <c r="B80" s="75" t="s">
        <v>8</v>
      </c>
      <c r="C80" s="82">
        <f>'2.Encargos Sociais'!$C$34*100</f>
        <v>71.150000000000006</v>
      </c>
      <c r="D80" s="77">
        <f>E79</f>
        <v>1863.0219999999999</v>
      </c>
      <c r="E80" s="77">
        <f>D80*C80/100</f>
        <v>1325.5401529999999</v>
      </c>
    </row>
    <row r="81" spans="1:7" hidden="1" x14ac:dyDescent="0.2">
      <c r="A81" s="78" t="s">
        <v>36</v>
      </c>
      <c r="B81" s="79"/>
      <c r="C81" s="79"/>
      <c r="D81" s="80"/>
      <c r="E81" s="81">
        <f>E79+E80</f>
        <v>3188.5621529999999</v>
      </c>
    </row>
    <row r="82" spans="1:7" hidden="1" x14ac:dyDescent="0.2">
      <c r="A82" s="74" t="s">
        <v>37</v>
      </c>
      <c r="B82" s="75" t="s">
        <v>38</v>
      </c>
      <c r="C82" s="83"/>
      <c r="D82" s="77">
        <f>E81</f>
        <v>3188.5621529999999</v>
      </c>
      <c r="E82" s="77">
        <f>C82*D82</f>
        <v>0</v>
      </c>
    </row>
    <row r="83" spans="1:7" hidden="1" x14ac:dyDescent="0.2">
      <c r="D83" s="84" t="s">
        <v>39</v>
      </c>
      <c r="E83" s="85">
        <f>$B$49</f>
        <v>0.4</v>
      </c>
      <c r="F83" s="86">
        <f>E82*E83</f>
        <v>0</v>
      </c>
    </row>
    <row r="84" spans="1:7" ht="11.25" customHeight="1" x14ac:dyDescent="0.2"/>
    <row r="85" spans="1:7" x14ac:dyDescent="0.2">
      <c r="A85" s="1" t="s">
        <v>48</v>
      </c>
    </row>
    <row r="86" spans="1:7" s="88" customFormat="1" ht="13.15" customHeight="1" x14ac:dyDescent="0.2">
      <c r="A86" s="67" t="s">
        <v>18</v>
      </c>
      <c r="B86" s="68" t="s">
        <v>19</v>
      </c>
      <c r="C86" s="68" t="s">
        <v>12</v>
      </c>
      <c r="D86" s="69" t="s">
        <v>20</v>
      </c>
      <c r="E86" s="69" t="s">
        <v>21</v>
      </c>
      <c r="F86" s="70" t="s">
        <v>22</v>
      </c>
      <c r="G86" s="2"/>
    </row>
    <row r="87" spans="1:7" x14ac:dyDescent="0.2">
      <c r="A87" s="71" t="s">
        <v>49</v>
      </c>
      <c r="B87" s="72" t="s">
        <v>24</v>
      </c>
      <c r="C87" s="72">
        <v>1</v>
      </c>
      <c r="D87" s="265">
        <v>1969.78</v>
      </c>
      <c r="E87" s="73">
        <f>C87*D87</f>
        <v>1969.78</v>
      </c>
    </row>
    <row r="88" spans="1:7" x14ac:dyDescent="0.2">
      <c r="A88" s="71" t="s">
        <v>50</v>
      </c>
      <c r="B88" s="72" t="s">
        <v>24</v>
      </c>
      <c r="C88" s="72">
        <v>1</v>
      </c>
      <c r="D88" s="265">
        <v>1045</v>
      </c>
      <c r="E88" s="73"/>
    </row>
    <row r="89" spans="1:7" hidden="1" x14ac:dyDescent="0.2">
      <c r="A89" s="74" t="s">
        <v>25</v>
      </c>
      <c r="B89" s="75" t="s">
        <v>26</v>
      </c>
      <c r="C89" s="76"/>
      <c r="D89" s="77">
        <f>D87/220*2</f>
        <v>17.907090909090908</v>
      </c>
      <c r="E89" s="77">
        <f>C89*D89</f>
        <v>0</v>
      </c>
      <c r="G89" s="2" t="s">
        <v>27</v>
      </c>
    </row>
    <row r="90" spans="1:7" hidden="1" x14ac:dyDescent="0.2">
      <c r="A90" s="74" t="s">
        <v>28</v>
      </c>
      <c r="B90" s="75" t="s">
        <v>26</v>
      </c>
      <c r="C90" s="76"/>
      <c r="D90" s="77">
        <f>D87/220*1.5</f>
        <v>13.43031818181818</v>
      </c>
      <c r="E90" s="77">
        <f>C90*D90</f>
        <v>0</v>
      </c>
      <c r="G90" s="2" t="s">
        <v>29</v>
      </c>
    </row>
    <row r="91" spans="1:7" ht="13.15" hidden="1" customHeight="1" x14ac:dyDescent="0.2">
      <c r="A91" s="74" t="s">
        <v>30</v>
      </c>
      <c r="B91" s="75" t="s">
        <v>31</v>
      </c>
      <c r="D91" s="77">
        <f>63/302*(SUM(E89:E90))</f>
        <v>0</v>
      </c>
      <c r="E91" s="77">
        <f>D91</f>
        <v>0</v>
      </c>
      <c r="G91" s="2" t="s">
        <v>32</v>
      </c>
    </row>
    <row r="92" spans="1:7" x14ac:dyDescent="0.2">
      <c r="A92" s="74" t="s">
        <v>51</v>
      </c>
      <c r="B92" s="75"/>
      <c r="C92" s="268">
        <v>1</v>
      </c>
      <c r="D92" s="77"/>
      <c r="E92" s="77"/>
    </row>
    <row r="93" spans="1:7" x14ac:dyDescent="0.2">
      <c r="A93" s="74" t="s">
        <v>33</v>
      </c>
      <c r="B93" s="75" t="s">
        <v>8</v>
      </c>
      <c r="C93" s="267">
        <v>20</v>
      </c>
      <c r="D93" s="77">
        <f>IF(C92=2,SUM(E87:E91),IF(C92=1,(SUM(E87:E91))*D88/D87,0))</f>
        <v>1045</v>
      </c>
      <c r="E93" s="77">
        <f>C93*D93/100</f>
        <v>209</v>
      </c>
    </row>
    <row r="94" spans="1:7" s="3" customFormat="1" x14ac:dyDescent="0.2">
      <c r="A94" s="90" t="s">
        <v>34</v>
      </c>
      <c r="B94" s="79"/>
      <c r="C94" s="79"/>
      <c r="D94" s="80"/>
      <c r="E94" s="91">
        <f>SUM(E87:E93)</f>
        <v>2178.7799999999997</v>
      </c>
      <c r="F94" s="24"/>
      <c r="G94" s="24"/>
    </row>
    <row r="95" spans="1:7" x14ac:dyDescent="0.2">
      <c r="A95" s="74" t="s">
        <v>35</v>
      </c>
      <c r="B95" s="75" t="s">
        <v>8</v>
      </c>
      <c r="C95" s="266">
        <f>'2.Encargos Sociais'!$C$34*100</f>
        <v>71.150000000000006</v>
      </c>
      <c r="D95" s="77">
        <f>E94</f>
        <v>2178.7799999999997</v>
      </c>
      <c r="E95" s="77">
        <f>D95*C95/100</f>
        <v>1550.2019699999998</v>
      </c>
    </row>
    <row r="96" spans="1:7" s="3" customFormat="1" x14ac:dyDescent="0.2">
      <c r="A96" s="90" t="s">
        <v>52</v>
      </c>
      <c r="B96" s="92"/>
      <c r="C96" s="92"/>
      <c r="D96" s="93"/>
      <c r="E96" s="91">
        <f>E94+E95</f>
        <v>3728.9819699999998</v>
      </c>
      <c r="F96" s="24"/>
      <c r="G96" s="24"/>
    </row>
    <row r="97" spans="1:7" x14ac:dyDescent="0.2">
      <c r="A97" s="74" t="s">
        <v>37</v>
      </c>
      <c r="B97" s="75" t="s">
        <v>38</v>
      </c>
      <c r="C97" s="267">
        <v>1</v>
      </c>
      <c r="D97" s="77">
        <f>E96</f>
        <v>3728.9819699999998</v>
      </c>
      <c r="E97" s="77">
        <f>C97*D97</f>
        <v>3728.9819699999998</v>
      </c>
    </row>
    <row r="98" spans="1:7" x14ac:dyDescent="0.2">
      <c r="D98" s="84" t="s">
        <v>39</v>
      </c>
      <c r="E98" s="85">
        <f>$B$49</f>
        <v>0.4</v>
      </c>
      <c r="F98" s="86">
        <f>E97*E98</f>
        <v>1491.5927879999999</v>
      </c>
    </row>
    <row r="99" spans="1:7" ht="11.25" hidden="1" customHeight="1" x14ac:dyDescent="0.2"/>
    <row r="100" spans="1:7" hidden="1" x14ac:dyDescent="0.2">
      <c r="A100" s="1" t="s">
        <v>53</v>
      </c>
    </row>
    <row r="101" spans="1:7" hidden="1" x14ac:dyDescent="0.2">
      <c r="A101" s="67" t="s">
        <v>18</v>
      </c>
      <c r="B101" s="68" t="s">
        <v>19</v>
      </c>
      <c r="C101" s="68" t="s">
        <v>12</v>
      </c>
      <c r="D101" s="69" t="s">
        <v>20</v>
      </c>
      <c r="E101" s="69" t="s">
        <v>21</v>
      </c>
      <c r="F101" s="70" t="s">
        <v>22</v>
      </c>
    </row>
    <row r="102" spans="1:7" hidden="1" x14ac:dyDescent="0.2">
      <c r="A102" s="71" t="s">
        <v>23</v>
      </c>
      <c r="B102" s="72" t="s">
        <v>24</v>
      </c>
      <c r="C102" s="72">
        <v>1</v>
      </c>
      <c r="D102" s="73">
        <f>D87</f>
        <v>1969.78</v>
      </c>
      <c r="E102" s="73">
        <f>C102*D102</f>
        <v>1969.78</v>
      </c>
    </row>
    <row r="103" spans="1:7" hidden="1" x14ac:dyDescent="0.2">
      <c r="A103" s="71" t="s">
        <v>54</v>
      </c>
      <c r="B103" s="72" t="s">
        <v>24</v>
      </c>
      <c r="C103" s="72">
        <v>1</v>
      </c>
      <c r="D103" s="77">
        <f>D88</f>
        <v>1045</v>
      </c>
      <c r="E103" s="77"/>
    </row>
    <row r="104" spans="1:7" hidden="1" x14ac:dyDescent="0.2">
      <c r="A104" s="74" t="s">
        <v>41</v>
      </c>
      <c r="B104" s="75" t="s">
        <v>42</v>
      </c>
      <c r="C104" s="76"/>
      <c r="D104" s="74"/>
      <c r="E104" s="74"/>
    </row>
    <row r="105" spans="1:7" hidden="1" x14ac:dyDescent="0.2">
      <c r="A105" s="74"/>
      <c r="B105" s="75" t="s">
        <v>43</v>
      </c>
      <c r="C105" s="77">
        <f>C104*8/7</f>
        <v>0</v>
      </c>
      <c r="D105" s="77">
        <f>D102/220*0.2</f>
        <v>1.7907090909090908</v>
      </c>
      <c r="E105" s="77">
        <f>C104*D105</f>
        <v>0</v>
      </c>
    </row>
    <row r="106" spans="1:7" hidden="1" x14ac:dyDescent="0.2">
      <c r="A106" s="74" t="s">
        <v>25</v>
      </c>
      <c r="B106" s="75" t="s">
        <v>26</v>
      </c>
      <c r="C106" s="76"/>
      <c r="D106" s="77">
        <f>D102/220*2</f>
        <v>17.907090909090908</v>
      </c>
      <c r="E106" s="77">
        <f>C106*D106</f>
        <v>0</v>
      </c>
      <c r="G106" s="2" t="s">
        <v>27</v>
      </c>
    </row>
    <row r="107" spans="1:7" hidden="1" x14ac:dyDescent="0.2">
      <c r="A107" s="74" t="s">
        <v>44</v>
      </c>
      <c r="B107" s="75" t="s">
        <v>42</v>
      </c>
      <c r="C107" s="76"/>
      <c r="D107" s="77"/>
      <c r="E107" s="77"/>
      <c r="G107" s="2" t="s">
        <v>45</v>
      </c>
    </row>
    <row r="108" spans="1:7" hidden="1" x14ac:dyDescent="0.2">
      <c r="A108" s="74"/>
      <c r="B108" s="75" t="s">
        <v>43</v>
      </c>
      <c r="C108" s="77">
        <f>C107*8/7</f>
        <v>0</v>
      </c>
      <c r="D108" s="77">
        <f>D102/220*2*1.2</f>
        <v>21.488509090909087</v>
      </c>
      <c r="E108" s="77">
        <f>C108*D108</f>
        <v>0</v>
      </c>
      <c r="G108" s="2" t="s">
        <v>45</v>
      </c>
    </row>
    <row r="109" spans="1:7" hidden="1" x14ac:dyDescent="0.2">
      <c r="A109" s="74" t="s">
        <v>28</v>
      </c>
      <c r="B109" s="75" t="s">
        <v>26</v>
      </c>
      <c r="C109" s="76"/>
      <c r="D109" s="77">
        <f>D102/220*1.5</f>
        <v>13.43031818181818</v>
      </c>
      <c r="E109" s="77">
        <f>C109*D109</f>
        <v>0</v>
      </c>
      <c r="G109" s="2" t="s">
        <v>29</v>
      </c>
    </row>
    <row r="110" spans="1:7" hidden="1" x14ac:dyDescent="0.2">
      <c r="A110" s="74" t="s">
        <v>46</v>
      </c>
      <c r="B110" s="75" t="s">
        <v>42</v>
      </c>
      <c r="C110" s="76"/>
      <c r="D110" s="77"/>
      <c r="E110" s="77"/>
      <c r="G110" s="2" t="s">
        <v>47</v>
      </c>
    </row>
    <row r="111" spans="1:7" hidden="1" x14ac:dyDescent="0.2">
      <c r="A111" s="74"/>
      <c r="B111" s="75" t="s">
        <v>43</v>
      </c>
      <c r="C111" s="77">
        <f>C110*8/7</f>
        <v>0</v>
      </c>
      <c r="D111" s="77">
        <f>D102/220*1.5*1.2</f>
        <v>16.116381818181814</v>
      </c>
      <c r="E111" s="77">
        <f>C111*D111</f>
        <v>0</v>
      </c>
      <c r="G111" s="2" t="s">
        <v>47</v>
      </c>
    </row>
    <row r="112" spans="1:7" ht="13.15" hidden="1" customHeight="1" x14ac:dyDescent="0.2">
      <c r="A112" s="74" t="s">
        <v>30</v>
      </c>
      <c r="B112" s="75" t="s">
        <v>31</v>
      </c>
      <c r="D112" s="77">
        <f>63/302*(SUM(E106:E111))</f>
        <v>0</v>
      </c>
      <c r="E112" s="77">
        <f>D112</f>
        <v>0</v>
      </c>
      <c r="G112" s="2" t="s">
        <v>32</v>
      </c>
    </row>
    <row r="113" spans="1:7" hidden="1" x14ac:dyDescent="0.2">
      <c r="A113" s="74" t="s">
        <v>51</v>
      </c>
      <c r="B113" s="75"/>
      <c r="C113" s="89"/>
      <c r="D113" s="77"/>
      <c r="E113" s="77"/>
    </row>
    <row r="114" spans="1:7" hidden="1" x14ac:dyDescent="0.2">
      <c r="A114" s="74" t="s">
        <v>33</v>
      </c>
      <c r="B114" s="75" t="s">
        <v>8</v>
      </c>
      <c r="C114" s="77">
        <f>+C93</f>
        <v>20</v>
      </c>
      <c r="D114" s="77">
        <f>IF(C113=2,SUM(E102:E112),IF(C113=1,SUM(E102:E112)*D103/D102,0))</f>
        <v>0</v>
      </c>
      <c r="E114" s="77">
        <f>C114*D114/100</f>
        <v>0</v>
      </c>
    </row>
    <row r="115" spans="1:7" s="3" customFormat="1" hidden="1" x14ac:dyDescent="0.2">
      <c r="A115" s="78" t="s">
        <v>34</v>
      </c>
      <c r="B115" s="79"/>
      <c r="C115" s="79"/>
      <c r="D115" s="80"/>
      <c r="E115" s="81">
        <f>SUM(E102:E114)</f>
        <v>1969.78</v>
      </c>
      <c r="F115" s="24"/>
      <c r="G115" s="24"/>
    </row>
    <row r="116" spans="1:7" hidden="1" x14ac:dyDescent="0.2">
      <c r="A116" s="74" t="s">
        <v>35</v>
      </c>
      <c r="B116" s="75" t="s">
        <v>8</v>
      </c>
      <c r="C116" s="82">
        <f>'2.Encargos Sociais'!$C$34*100</f>
        <v>71.150000000000006</v>
      </c>
      <c r="D116" s="77">
        <f>E115</f>
        <v>1969.78</v>
      </c>
      <c r="E116" s="77">
        <f>D116*C116/100</f>
        <v>1401.49847</v>
      </c>
    </row>
    <row r="117" spans="1:7" s="3" customFormat="1" hidden="1" x14ac:dyDescent="0.2">
      <c r="A117" s="78" t="s">
        <v>52</v>
      </c>
      <c r="B117" s="79"/>
      <c r="C117" s="79"/>
      <c r="D117" s="80"/>
      <c r="E117" s="81">
        <f>E115+E116</f>
        <v>3371.2784700000002</v>
      </c>
      <c r="F117" s="24"/>
      <c r="G117" s="24"/>
    </row>
    <row r="118" spans="1:7" hidden="1" x14ac:dyDescent="0.2">
      <c r="A118" s="74" t="s">
        <v>37</v>
      </c>
      <c r="B118" s="75" t="s">
        <v>38</v>
      </c>
      <c r="C118" s="83"/>
      <c r="D118" s="77">
        <f>E117</f>
        <v>3371.2784700000002</v>
      </c>
      <c r="E118" s="77">
        <f>C118*D118</f>
        <v>0</v>
      </c>
    </row>
    <row r="119" spans="1:7" hidden="1" x14ac:dyDescent="0.2">
      <c r="D119" s="84" t="s">
        <v>39</v>
      </c>
      <c r="E119" s="85">
        <f>$B$49</f>
        <v>0.4</v>
      </c>
      <c r="F119" s="86">
        <f>E118*E119</f>
        <v>0</v>
      </c>
    </row>
    <row r="120" spans="1:7" ht="11.25" hidden="1" customHeight="1" x14ac:dyDescent="0.2">
      <c r="G120" s="1"/>
    </row>
    <row r="121" spans="1:7" s="1" customFormat="1" hidden="1" x14ac:dyDescent="0.2">
      <c r="A121" s="1" t="s">
        <v>55</v>
      </c>
      <c r="B121" s="94"/>
      <c r="F121" s="2"/>
    </row>
    <row r="122" spans="1:7" s="1" customFormat="1" hidden="1" x14ac:dyDescent="0.2">
      <c r="A122" s="67" t="s">
        <v>18</v>
      </c>
      <c r="B122" s="68" t="s">
        <v>19</v>
      </c>
      <c r="C122" s="68" t="s">
        <v>12</v>
      </c>
      <c r="D122" s="69" t="s">
        <v>20</v>
      </c>
      <c r="E122" s="69" t="s">
        <v>21</v>
      </c>
      <c r="F122" s="70" t="s">
        <v>22</v>
      </c>
    </row>
    <row r="123" spans="1:7" hidden="1" x14ac:dyDescent="0.2">
      <c r="A123" s="74" t="s">
        <v>56</v>
      </c>
      <c r="B123" s="75" t="s">
        <v>31</v>
      </c>
      <c r="C123" s="95">
        <v>1</v>
      </c>
      <c r="D123" s="96"/>
      <c r="E123" s="77"/>
      <c r="G123" s="1"/>
    </row>
    <row r="124" spans="1:7" hidden="1" x14ac:dyDescent="0.2">
      <c r="A124" s="74" t="s">
        <v>57</v>
      </c>
      <c r="B124" s="75" t="s">
        <v>58</v>
      </c>
      <c r="C124" s="97"/>
      <c r="D124" s="77"/>
      <c r="E124" s="77"/>
      <c r="G124" s="1"/>
    </row>
    <row r="125" spans="1:7" hidden="1" x14ac:dyDescent="0.2">
      <c r="A125" s="74" t="s">
        <v>59</v>
      </c>
      <c r="B125" s="75" t="s">
        <v>60</v>
      </c>
      <c r="C125" s="98">
        <f>$C$124*2*(C63+C82)</f>
        <v>0</v>
      </c>
      <c r="D125" s="73" t="str">
        <f>IFERROR((($C$124*2*$D$123)-(E55*0.06))/($C$124*2),"-")</f>
        <v>-</v>
      </c>
      <c r="E125" s="77" t="str">
        <f>IFERROR(C125*D125,"-")</f>
        <v>-</v>
      </c>
      <c r="G125" s="1"/>
    </row>
    <row r="126" spans="1:7" hidden="1" x14ac:dyDescent="0.2">
      <c r="A126" s="71" t="s">
        <v>61</v>
      </c>
      <c r="B126" s="72" t="s">
        <v>60</v>
      </c>
      <c r="C126" s="98">
        <f>$C$124*2*(C97+C118)</f>
        <v>0</v>
      </c>
      <c r="D126" s="73" t="str">
        <f>IFERROR((($C$124*2*$D$123)-(E87*0.06))/($C$124*2),"-")</f>
        <v>-</v>
      </c>
      <c r="E126" s="73" t="str">
        <f>IFERROR(C126*D126,"-")</f>
        <v>-</v>
      </c>
      <c r="G126" s="1"/>
    </row>
    <row r="127" spans="1:7" hidden="1" x14ac:dyDescent="0.2">
      <c r="F127" s="99">
        <f>SUM(E125:E126)</f>
        <v>0</v>
      </c>
      <c r="G127" s="1"/>
    </row>
    <row r="128" spans="1:7" ht="11.25" customHeight="1" x14ac:dyDescent="0.2">
      <c r="G128" s="1"/>
    </row>
    <row r="129" spans="1:7" hidden="1" x14ac:dyDescent="0.2">
      <c r="A129" s="1" t="s">
        <v>62</v>
      </c>
      <c r="F129" s="24"/>
      <c r="G129" s="1"/>
    </row>
    <row r="130" spans="1:7" s="1" customFormat="1" hidden="1" x14ac:dyDescent="0.2">
      <c r="A130" s="67" t="s">
        <v>18</v>
      </c>
      <c r="B130" s="68" t="s">
        <v>19</v>
      </c>
      <c r="C130" s="68" t="s">
        <v>12</v>
      </c>
      <c r="D130" s="69" t="s">
        <v>20</v>
      </c>
      <c r="E130" s="69" t="s">
        <v>21</v>
      </c>
      <c r="F130" s="70" t="s">
        <v>22</v>
      </c>
    </row>
    <row r="131" spans="1:7" s="1" customFormat="1" hidden="1" x14ac:dyDescent="0.2">
      <c r="A131" s="74" t="str">
        <f>+A125</f>
        <v>Coletor</v>
      </c>
      <c r="B131" s="75" t="s">
        <v>63</v>
      </c>
      <c r="C131" s="98">
        <f>C124*(E39+E40)</f>
        <v>0</v>
      </c>
      <c r="D131" s="100"/>
      <c r="E131" s="85">
        <f>C131*D131</f>
        <v>0</v>
      </c>
      <c r="F131" s="24"/>
    </row>
    <row r="132" spans="1:7" s="1" customFormat="1" hidden="1" x14ac:dyDescent="0.2">
      <c r="A132" s="74" t="str">
        <f>+A126</f>
        <v>Motorista</v>
      </c>
      <c r="B132" s="75" t="s">
        <v>63</v>
      </c>
      <c r="C132" s="98">
        <f>C124*(E41+E42)</f>
        <v>0</v>
      </c>
      <c r="D132" s="100"/>
      <c r="E132" s="85">
        <f>C132*D132</f>
        <v>0</v>
      </c>
      <c r="F132" s="24"/>
    </row>
    <row r="133" spans="1:7" hidden="1" x14ac:dyDescent="0.2">
      <c r="F133" s="99">
        <f>SUM(E131:E132)</f>
        <v>0</v>
      </c>
      <c r="G133" s="1"/>
    </row>
    <row r="134" spans="1:7" x14ac:dyDescent="0.2">
      <c r="G134" s="1"/>
    </row>
    <row r="135" spans="1:7" x14ac:dyDescent="0.2">
      <c r="A135" s="1" t="s">
        <v>64</v>
      </c>
      <c r="F135" s="24"/>
      <c r="G135" s="1"/>
    </row>
    <row r="136" spans="1:7" s="1" customFormat="1" x14ac:dyDescent="0.2">
      <c r="A136" s="67" t="s">
        <v>18</v>
      </c>
      <c r="B136" s="68" t="s">
        <v>19</v>
      </c>
      <c r="C136" s="68" t="s">
        <v>12</v>
      </c>
      <c r="D136" s="69" t="s">
        <v>20</v>
      </c>
      <c r="E136" s="69" t="s">
        <v>21</v>
      </c>
      <c r="F136" s="70" t="s">
        <v>22</v>
      </c>
    </row>
    <row r="137" spans="1:7" s="1" customFormat="1" x14ac:dyDescent="0.2">
      <c r="A137" s="74" t="str">
        <f>+A131</f>
        <v>Coletor</v>
      </c>
      <c r="B137" s="75" t="s">
        <v>63</v>
      </c>
      <c r="C137" s="98">
        <f>E39+E40</f>
        <v>3</v>
      </c>
      <c r="D137" s="266">
        <v>351.33</v>
      </c>
      <c r="E137" s="85">
        <f>C137*D137</f>
        <v>1053.99</v>
      </c>
      <c r="F137" s="24"/>
    </row>
    <row r="138" spans="1:7" s="1" customFormat="1" x14ac:dyDescent="0.2">
      <c r="A138" s="74" t="str">
        <f>+A132</f>
        <v>Motorista</v>
      </c>
      <c r="B138" s="75" t="s">
        <v>63</v>
      </c>
      <c r="C138" s="98">
        <f>E41+E42</f>
        <v>1</v>
      </c>
      <c r="D138" s="266">
        <v>351.33</v>
      </c>
      <c r="E138" s="85">
        <f>C138*D138</f>
        <v>351.33</v>
      </c>
      <c r="F138" s="24"/>
    </row>
    <row r="139" spans="1:7" s="1" customFormat="1" x14ac:dyDescent="0.2">
      <c r="D139" s="84" t="s">
        <v>39</v>
      </c>
      <c r="E139" s="85">
        <f>$B$49</f>
        <v>0.4</v>
      </c>
      <c r="F139" s="99">
        <f>SUM(E137:E138)*E139</f>
        <v>562.12800000000004</v>
      </c>
    </row>
    <row r="140" spans="1:7" x14ac:dyDescent="0.2">
      <c r="G140" s="1"/>
    </row>
    <row r="141" spans="1:7" s="1" customFormat="1" x14ac:dyDescent="0.2">
      <c r="A141" s="101" t="s">
        <v>65</v>
      </c>
      <c r="B141" s="102"/>
      <c r="C141" s="102"/>
      <c r="D141" s="39"/>
      <c r="E141" s="103"/>
      <c r="F141" s="99">
        <f>F139+F133+F127+F119+F98+F83+F64</f>
        <v>5879.9953716</v>
      </c>
    </row>
    <row r="143" spans="1:7" x14ac:dyDescent="0.2">
      <c r="A143" s="3" t="s">
        <v>66</v>
      </c>
      <c r="G143" s="1"/>
    </row>
    <row r="144" spans="1:7" ht="11.25" customHeight="1" x14ac:dyDescent="0.2">
      <c r="G144" s="1"/>
    </row>
    <row r="145" spans="1:7" ht="13.9" customHeight="1" x14ac:dyDescent="0.2">
      <c r="A145" s="1" t="s">
        <v>67</v>
      </c>
      <c r="G145" s="1"/>
    </row>
    <row r="146" spans="1:7" ht="11.25" customHeight="1" x14ac:dyDescent="0.2">
      <c r="G146" s="1"/>
    </row>
    <row r="147" spans="1:7" s="1" customFormat="1" ht="27.75" customHeight="1" x14ac:dyDescent="0.2">
      <c r="A147" s="67" t="s">
        <v>18</v>
      </c>
      <c r="B147" s="68" t="s">
        <v>19</v>
      </c>
      <c r="C147" s="104" t="s">
        <v>68</v>
      </c>
      <c r="D147" s="69" t="s">
        <v>20</v>
      </c>
      <c r="E147" s="69" t="s">
        <v>21</v>
      </c>
      <c r="F147" s="70" t="s">
        <v>22</v>
      </c>
    </row>
    <row r="148" spans="1:7" x14ac:dyDescent="0.2">
      <c r="A148" s="71" t="s">
        <v>69</v>
      </c>
      <c r="B148" s="72" t="s">
        <v>63</v>
      </c>
      <c r="C148" s="269">
        <v>8</v>
      </c>
      <c r="D148" s="265">
        <v>56</v>
      </c>
      <c r="E148" s="73">
        <f t="shared" ref="E148:E157" si="1">IFERROR(D148/C148,0)</f>
        <v>7</v>
      </c>
      <c r="G148" s="1"/>
    </row>
    <row r="149" spans="1:7" ht="13.15" customHeight="1" x14ac:dyDescent="0.2">
      <c r="A149" s="74" t="s">
        <v>70</v>
      </c>
      <c r="B149" s="75" t="s">
        <v>63</v>
      </c>
      <c r="C149" s="269">
        <v>6</v>
      </c>
      <c r="D149" s="265">
        <v>39</v>
      </c>
      <c r="E149" s="73">
        <f t="shared" si="1"/>
        <v>6.5</v>
      </c>
      <c r="G149" s="1"/>
    </row>
    <row r="150" spans="1:7" x14ac:dyDescent="0.2">
      <c r="A150" s="74" t="s">
        <v>71</v>
      </c>
      <c r="B150" s="75" t="s">
        <v>63</v>
      </c>
      <c r="C150" s="269">
        <v>4</v>
      </c>
      <c r="D150" s="265">
        <v>19.5</v>
      </c>
      <c r="E150" s="73">
        <f t="shared" si="1"/>
        <v>4.875</v>
      </c>
      <c r="G150" s="1"/>
    </row>
    <row r="151" spans="1:7" ht="13.15" customHeight="1" x14ac:dyDescent="0.2">
      <c r="A151" s="74" t="s">
        <v>72</v>
      </c>
      <c r="B151" s="75" t="s">
        <v>63</v>
      </c>
      <c r="C151" s="269">
        <v>12</v>
      </c>
      <c r="D151" s="265">
        <v>15.9</v>
      </c>
      <c r="E151" s="73">
        <f t="shared" si="1"/>
        <v>1.325</v>
      </c>
      <c r="G151" s="1"/>
    </row>
    <row r="152" spans="1:7" ht="13.9" customHeight="1" x14ac:dyDescent="0.2">
      <c r="A152" s="74" t="s">
        <v>73</v>
      </c>
      <c r="B152" s="75" t="s">
        <v>74</v>
      </c>
      <c r="C152" s="269">
        <v>8</v>
      </c>
      <c r="D152" s="265">
        <v>55</v>
      </c>
      <c r="E152" s="73">
        <f t="shared" si="1"/>
        <v>6.875</v>
      </c>
      <c r="G152" s="1"/>
    </row>
    <row r="153" spans="1:7" ht="13.15" customHeight="1" x14ac:dyDescent="0.2">
      <c r="A153" s="74" t="s">
        <v>75</v>
      </c>
      <c r="B153" s="75" t="s">
        <v>74</v>
      </c>
      <c r="C153" s="269">
        <v>4</v>
      </c>
      <c r="D153" s="265">
        <v>20</v>
      </c>
      <c r="E153" s="73">
        <f t="shared" si="1"/>
        <v>5</v>
      </c>
    </row>
    <row r="154" spans="1:7" x14ac:dyDescent="0.2">
      <c r="A154" s="74" t="s">
        <v>76</v>
      </c>
      <c r="B154" s="75" t="s">
        <v>63</v>
      </c>
      <c r="C154" s="269">
        <v>6</v>
      </c>
      <c r="D154" s="265">
        <v>15</v>
      </c>
      <c r="E154" s="73">
        <f t="shared" si="1"/>
        <v>2.5</v>
      </c>
    </row>
    <row r="155" spans="1:7" s="108" customFormat="1" x14ac:dyDescent="0.2">
      <c r="A155" s="105" t="s">
        <v>77</v>
      </c>
      <c r="B155" s="106" t="s">
        <v>63</v>
      </c>
      <c r="C155" s="269">
        <v>12</v>
      </c>
      <c r="D155" s="265">
        <v>10.9</v>
      </c>
      <c r="E155" s="73">
        <f t="shared" si="1"/>
        <v>0.90833333333333333</v>
      </c>
      <c r="F155" s="107"/>
      <c r="G155" s="107"/>
    </row>
    <row r="156" spans="1:7" x14ac:dyDescent="0.2">
      <c r="A156" s="74" t="s">
        <v>78</v>
      </c>
      <c r="B156" s="75" t="s">
        <v>74</v>
      </c>
      <c r="C156" s="269">
        <v>0.3</v>
      </c>
      <c r="D156" s="265">
        <v>12</v>
      </c>
      <c r="E156" s="73">
        <f t="shared" si="1"/>
        <v>40</v>
      </c>
    </row>
    <row r="157" spans="1:7" ht="13.15" customHeight="1" x14ac:dyDescent="0.2">
      <c r="A157" s="74" t="s">
        <v>79</v>
      </c>
      <c r="B157" s="75" t="s">
        <v>80</v>
      </c>
      <c r="C157" s="269">
        <v>1</v>
      </c>
      <c r="D157" s="265">
        <v>12.9</v>
      </c>
      <c r="E157" s="73">
        <f t="shared" si="1"/>
        <v>12.9</v>
      </c>
    </row>
    <row r="158" spans="1:7" x14ac:dyDescent="0.2">
      <c r="A158" s="74" t="s">
        <v>81</v>
      </c>
      <c r="B158" s="75" t="s">
        <v>82</v>
      </c>
      <c r="C158" s="268">
        <v>1</v>
      </c>
      <c r="D158" s="265">
        <v>80</v>
      </c>
      <c r="E158" s="77">
        <f>C158*D158</f>
        <v>80</v>
      </c>
    </row>
    <row r="159" spans="1:7" x14ac:dyDescent="0.2">
      <c r="A159" s="74" t="s">
        <v>37</v>
      </c>
      <c r="B159" s="75" t="s">
        <v>38</v>
      </c>
      <c r="C159" s="268">
        <f>E39+E40</f>
        <v>3</v>
      </c>
      <c r="D159" s="266">
        <f>+SUM(E148:E158)</f>
        <v>167.88333333333333</v>
      </c>
      <c r="E159" s="77">
        <f>C159*D159</f>
        <v>503.65</v>
      </c>
    </row>
    <row r="160" spans="1:7" x14ac:dyDescent="0.2">
      <c r="D160" s="84" t="s">
        <v>39</v>
      </c>
      <c r="E160" s="85">
        <f>$B$49</f>
        <v>0.4</v>
      </c>
      <c r="F160" s="86">
        <f>E159*E160</f>
        <v>201.46</v>
      </c>
    </row>
    <row r="161" spans="1:7" ht="11.25" customHeight="1" x14ac:dyDescent="0.2"/>
    <row r="162" spans="1:7" ht="13.9" customHeight="1" x14ac:dyDescent="0.2">
      <c r="A162" s="1" t="s">
        <v>83</v>
      </c>
    </row>
    <row r="163" spans="1:7" ht="11.25" customHeight="1" x14ac:dyDescent="0.2"/>
    <row r="164" spans="1:7" ht="24" x14ac:dyDescent="0.2">
      <c r="A164" s="67" t="s">
        <v>18</v>
      </c>
      <c r="B164" s="68" t="s">
        <v>19</v>
      </c>
      <c r="C164" s="104" t="s">
        <v>68</v>
      </c>
      <c r="D164" s="69" t="s">
        <v>20</v>
      </c>
      <c r="E164" s="69" t="s">
        <v>21</v>
      </c>
      <c r="F164" s="70" t="s">
        <v>22</v>
      </c>
    </row>
    <row r="165" spans="1:7" x14ac:dyDescent="0.2">
      <c r="A165" s="71" t="s">
        <v>69</v>
      </c>
      <c r="B165" s="72" t="s">
        <v>63</v>
      </c>
      <c r="C165" s="269">
        <v>12</v>
      </c>
      <c r="D165" s="265">
        <f>+D148</f>
        <v>56</v>
      </c>
      <c r="E165" s="73">
        <f t="shared" ref="E165:E170" si="2">IFERROR(D165/C165,0)</f>
        <v>4.666666666666667</v>
      </c>
    </row>
    <row r="166" spans="1:7" x14ac:dyDescent="0.2">
      <c r="A166" s="74" t="s">
        <v>70</v>
      </c>
      <c r="B166" s="75" t="s">
        <v>63</v>
      </c>
      <c r="C166" s="269">
        <v>12</v>
      </c>
      <c r="D166" s="266">
        <f>+D149</f>
        <v>39</v>
      </c>
      <c r="E166" s="73">
        <f t="shared" si="2"/>
        <v>3.25</v>
      </c>
    </row>
    <row r="167" spans="1:7" x14ac:dyDescent="0.2">
      <c r="A167" s="74" t="s">
        <v>71</v>
      </c>
      <c r="B167" s="75" t="s">
        <v>63</v>
      </c>
      <c r="C167" s="269">
        <v>12</v>
      </c>
      <c r="D167" s="266">
        <f>+D150</f>
        <v>19.5</v>
      </c>
      <c r="E167" s="73">
        <f t="shared" si="2"/>
        <v>1.625</v>
      </c>
    </row>
    <row r="168" spans="1:7" x14ac:dyDescent="0.2">
      <c r="A168" s="74" t="s">
        <v>73</v>
      </c>
      <c r="B168" s="75" t="s">
        <v>74</v>
      </c>
      <c r="C168" s="269">
        <v>12</v>
      </c>
      <c r="D168" s="266">
        <f>+D152</f>
        <v>55</v>
      </c>
      <c r="E168" s="73">
        <f t="shared" si="2"/>
        <v>4.583333333333333</v>
      </c>
    </row>
    <row r="169" spans="1:7" x14ac:dyDescent="0.2">
      <c r="A169" s="74" t="s">
        <v>76</v>
      </c>
      <c r="B169" s="75" t="s">
        <v>63</v>
      </c>
      <c r="C169" s="269">
        <v>12</v>
      </c>
      <c r="D169" s="266">
        <f>+D154</f>
        <v>15</v>
      </c>
      <c r="E169" s="73">
        <f t="shared" si="2"/>
        <v>1.25</v>
      </c>
      <c r="G169" s="1"/>
    </row>
    <row r="170" spans="1:7" x14ac:dyDescent="0.2">
      <c r="A170" s="74" t="s">
        <v>79</v>
      </c>
      <c r="B170" s="75" t="s">
        <v>80</v>
      </c>
      <c r="C170" s="269">
        <v>1</v>
      </c>
      <c r="D170" s="266">
        <f>+D157</f>
        <v>12.9</v>
      </c>
      <c r="E170" s="73">
        <f t="shared" si="2"/>
        <v>12.9</v>
      </c>
      <c r="G170" s="1"/>
    </row>
    <row r="171" spans="1:7" x14ac:dyDescent="0.2">
      <c r="A171" s="74" t="s">
        <v>81</v>
      </c>
      <c r="B171" s="75" t="s">
        <v>82</v>
      </c>
      <c r="C171" s="268">
        <v>1</v>
      </c>
      <c r="D171" s="265">
        <v>50</v>
      </c>
      <c r="E171" s="77">
        <f>C171*D171</f>
        <v>50</v>
      </c>
      <c r="G171" s="1"/>
    </row>
    <row r="172" spans="1:7" x14ac:dyDescent="0.2">
      <c r="A172" s="74" t="s">
        <v>37</v>
      </c>
      <c r="B172" s="75" t="s">
        <v>38</v>
      </c>
      <c r="C172" s="109">
        <f>E41+E42</f>
        <v>1</v>
      </c>
      <c r="D172" s="77">
        <f>+SUM(E165:E171)</f>
        <v>78.275000000000006</v>
      </c>
      <c r="E172" s="77">
        <f>C172*D172</f>
        <v>78.275000000000006</v>
      </c>
      <c r="G172" s="1"/>
    </row>
    <row r="173" spans="1:7" s="1" customFormat="1" x14ac:dyDescent="0.2">
      <c r="D173" s="84" t="s">
        <v>39</v>
      </c>
      <c r="E173" s="85">
        <f>$B$49</f>
        <v>0.4</v>
      </c>
      <c r="F173" s="86">
        <f>E172*E173</f>
        <v>31.310000000000002</v>
      </c>
    </row>
    <row r="174" spans="1:7" ht="11.25" customHeight="1" x14ac:dyDescent="0.2">
      <c r="G174" s="1"/>
    </row>
    <row r="175" spans="1:7" s="1" customFormat="1" x14ac:dyDescent="0.2">
      <c r="A175" s="101" t="s">
        <v>84</v>
      </c>
      <c r="B175" s="110"/>
      <c r="C175" s="110"/>
      <c r="D175" s="111"/>
      <c r="E175" s="112"/>
      <c r="F175" s="113">
        <f>+F160+F173</f>
        <v>232.77</v>
      </c>
    </row>
    <row r="176" spans="1:7" ht="11.25" customHeight="1" x14ac:dyDescent="0.2">
      <c r="G176" s="1"/>
    </row>
    <row r="177" spans="1:10" x14ac:dyDescent="0.2">
      <c r="A177" s="3" t="s">
        <v>85</v>
      </c>
      <c r="G177" s="1"/>
    </row>
    <row r="178" spans="1:10" ht="11.25" customHeight="1" x14ac:dyDescent="0.2">
      <c r="B178" s="114"/>
      <c r="G178" s="1"/>
    </row>
    <row r="179" spans="1:10" x14ac:dyDescent="0.2">
      <c r="A179" s="1" t="s">
        <v>86</v>
      </c>
      <c r="G179" s="1"/>
    </row>
    <row r="180" spans="1:10" ht="11.25" customHeight="1" x14ac:dyDescent="0.2">
      <c r="G180" s="1"/>
    </row>
    <row r="181" spans="1:10" x14ac:dyDescent="0.2">
      <c r="A181" s="114" t="s">
        <v>87</v>
      </c>
      <c r="G181" s="1"/>
    </row>
    <row r="182" spans="1:10" s="1" customFormat="1" x14ac:dyDescent="0.2">
      <c r="A182" s="67" t="s">
        <v>18</v>
      </c>
      <c r="B182" s="68" t="s">
        <v>19</v>
      </c>
      <c r="C182" s="68" t="s">
        <v>12</v>
      </c>
      <c r="D182" s="69" t="s">
        <v>20</v>
      </c>
      <c r="E182" s="69" t="s">
        <v>21</v>
      </c>
      <c r="F182" s="70" t="s">
        <v>22</v>
      </c>
    </row>
    <row r="183" spans="1:10" x14ac:dyDescent="0.2">
      <c r="A183" s="71" t="s">
        <v>88</v>
      </c>
      <c r="B183" s="72" t="s">
        <v>63</v>
      </c>
      <c r="C183" s="270">
        <v>1</v>
      </c>
      <c r="D183" s="265">
        <v>195667</v>
      </c>
      <c r="E183" s="73">
        <f>C183*D183</f>
        <v>195667</v>
      </c>
      <c r="G183" s="1"/>
    </row>
    <row r="184" spans="1:10" x14ac:dyDescent="0.2">
      <c r="A184" s="74" t="s">
        <v>89</v>
      </c>
      <c r="B184" s="75" t="s">
        <v>90</v>
      </c>
      <c r="C184" s="267">
        <v>10</v>
      </c>
      <c r="D184" s="266"/>
      <c r="E184" s="77"/>
      <c r="G184" s="1"/>
    </row>
    <row r="185" spans="1:10" x14ac:dyDescent="0.2">
      <c r="A185" s="74" t="s">
        <v>91</v>
      </c>
      <c r="B185" s="75" t="s">
        <v>90</v>
      </c>
      <c r="C185" s="267">
        <v>0</v>
      </c>
      <c r="D185" s="266"/>
      <c r="E185" s="77"/>
      <c r="F185" s="115"/>
      <c r="I185" s="116"/>
      <c r="J185" s="116"/>
    </row>
    <row r="186" spans="1:10" x14ac:dyDescent="0.2">
      <c r="A186" s="74" t="s">
        <v>92</v>
      </c>
      <c r="B186" s="75" t="s">
        <v>8</v>
      </c>
      <c r="C186" s="266">
        <f>IFERROR(VLOOKUP(C184,'5. Depreciação'!A3:B17,2,0),0)</f>
        <v>65.180000000000007</v>
      </c>
      <c r="D186" s="266">
        <f>E183</f>
        <v>195667</v>
      </c>
      <c r="E186" s="77">
        <f>C186*D186/100</f>
        <v>127535.7506</v>
      </c>
    </row>
    <row r="187" spans="1:10" x14ac:dyDescent="0.2">
      <c r="A187" s="117" t="s">
        <v>93</v>
      </c>
      <c r="B187" s="118" t="s">
        <v>24</v>
      </c>
      <c r="C187" s="271">
        <f>C184*12</f>
        <v>120</v>
      </c>
      <c r="D187" s="272">
        <f>IF(C185&lt;=C184,E186,0)</f>
        <v>127535.7506</v>
      </c>
      <c r="E187" s="119">
        <f>IFERROR(D187/C187,0)</f>
        <v>1062.7979216666668</v>
      </c>
    </row>
    <row r="188" spans="1:10" x14ac:dyDescent="0.2">
      <c r="A188" s="71" t="s">
        <v>94</v>
      </c>
      <c r="B188" s="72" t="s">
        <v>63</v>
      </c>
      <c r="C188" s="270">
        <f>C183</f>
        <v>1</v>
      </c>
      <c r="D188" s="265">
        <v>105000</v>
      </c>
      <c r="E188" s="73">
        <f>C188*D188</f>
        <v>105000</v>
      </c>
      <c r="G188" s="1"/>
    </row>
    <row r="189" spans="1:10" x14ac:dyDescent="0.2">
      <c r="A189" s="74" t="s">
        <v>95</v>
      </c>
      <c r="B189" s="75" t="s">
        <v>90</v>
      </c>
      <c r="C189" s="267">
        <v>10</v>
      </c>
      <c r="D189" s="266"/>
      <c r="E189" s="77"/>
    </row>
    <row r="190" spans="1:10" x14ac:dyDescent="0.2">
      <c r="A190" s="74" t="s">
        <v>96</v>
      </c>
      <c r="B190" s="75" t="s">
        <v>90</v>
      </c>
      <c r="C190" s="267">
        <v>0</v>
      </c>
      <c r="D190" s="266"/>
      <c r="E190" s="77"/>
      <c r="F190" s="115"/>
      <c r="I190" s="116"/>
      <c r="J190" s="116"/>
    </row>
    <row r="191" spans="1:10" x14ac:dyDescent="0.2">
      <c r="A191" s="74" t="s">
        <v>97</v>
      </c>
      <c r="B191" s="75" t="s">
        <v>8</v>
      </c>
      <c r="C191" s="273">
        <f>IFERROR(VLOOKUP(C189,'5. Depreciação'!A3:B17,2,0),0)</f>
        <v>65.180000000000007</v>
      </c>
      <c r="D191" s="266">
        <f>E188</f>
        <v>105000</v>
      </c>
      <c r="E191" s="77">
        <f>C191*D191/100</f>
        <v>68439.000000000015</v>
      </c>
    </row>
    <row r="192" spans="1:10" x14ac:dyDescent="0.2">
      <c r="A192" s="90" t="s">
        <v>98</v>
      </c>
      <c r="B192" s="120" t="s">
        <v>24</v>
      </c>
      <c r="C192" s="274">
        <f>C189*12</f>
        <v>120</v>
      </c>
      <c r="D192" s="275">
        <f>IF(C190&lt;=C189,E191,0)</f>
        <v>68439.000000000015</v>
      </c>
      <c r="E192" s="91">
        <f>IFERROR(D192/C192,0)</f>
        <v>570.32500000000016</v>
      </c>
    </row>
    <row r="193" spans="1:10" x14ac:dyDescent="0.2">
      <c r="A193" s="78" t="s">
        <v>99</v>
      </c>
      <c r="B193" s="79"/>
      <c r="C193" s="276"/>
      <c r="D193" s="277"/>
      <c r="E193" s="81">
        <f>E187+E192</f>
        <v>1633.122921666667</v>
      </c>
    </row>
    <row r="194" spans="1:10" x14ac:dyDescent="0.2">
      <c r="A194" s="90" t="s">
        <v>100</v>
      </c>
      <c r="B194" s="120" t="s">
        <v>63</v>
      </c>
      <c r="C194" s="267">
        <v>1</v>
      </c>
      <c r="D194" s="275">
        <f>E193</f>
        <v>1633.122921666667</v>
      </c>
      <c r="E194" s="81">
        <f>C194*D194</f>
        <v>1633.122921666667</v>
      </c>
    </row>
    <row r="195" spans="1:10" x14ac:dyDescent="0.2">
      <c r="A195" s="121"/>
      <c r="B195" s="121"/>
      <c r="C195" s="121"/>
      <c r="D195" s="84" t="s">
        <v>39</v>
      </c>
      <c r="E195" s="85">
        <f>$B$49</f>
        <v>0.4</v>
      </c>
      <c r="F195" s="113">
        <f>E194*E195</f>
        <v>653.24916866666683</v>
      </c>
    </row>
    <row r="196" spans="1:10" ht="11.25" customHeight="1" x14ac:dyDescent="0.2"/>
    <row r="197" spans="1:10" x14ac:dyDescent="0.2">
      <c r="A197" s="114" t="s">
        <v>101</v>
      </c>
    </row>
    <row r="198" spans="1:10" x14ac:dyDescent="0.2">
      <c r="A198" s="122" t="s">
        <v>18</v>
      </c>
      <c r="B198" s="123" t="s">
        <v>19</v>
      </c>
      <c r="C198" s="123" t="s">
        <v>12</v>
      </c>
      <c r="D198" s="69" t="s">
        <v>20</v>
      </c>
      <c r="E198" s="124" t="s">
        <v>21</v>
      </c>
      <c r="F198" s="70" t="s">
        <v>22</v>
      </c>
      <c r="I198" s="116"/>
      <c r="J198" s="116"/>
    </row>
    <row r="199" spans="1:10" x14ac:dyDescent="0.2">
      <c r="A199" s="74" t="s">
        <v>102</v>
      </c>
      <c r="B199" s="75" t="s">
        <v>63</v>
      </c>
      <c r="C199" s="72">
        <v>1</v>
      </c>
      <c r="D199" s="77">
        <f>D183</f>
        <v>195667</v>
      </c>
      <c r="E199" s="77">
        <f>C199*D199</f>
        <v>195667</v>
      </c>
      <c r="F199" s="115"/>
      <c r="I199" s="116"/>
      <c r="J199" s="116"/>
    </row>
    <row r="200" spans="1:10" x14ac:dyDescent="0.2">
      <c r="A200" s="74" t="s">
        <v>103</v>
      </c>
      <c r="B200" s="75" t="s">
        <v>8</v>
      </c>
      <c r="C200" s="267">
        <v>6.5</v>
      </c>
      <c r="D200" s="77"/>
      <c r="E200" s="77"/>
      <c r="F200" s="115"/>
      <c r="I200" s="116"/>
      <c r="J200" s="116"/>
    </row>
    <row r="201" spans="1:10" x14ac:dyDescent="0.2">
      <c r="A201" s="74" t="s">
        <v>104</v>
      </c>
      <c r="B201" s="75" t="s">
        <v>31</v>
      </c>
      <c r="C201" s="125">
        <f>IFERROR(IF(C185&lt;=C184,E183-(C186/(100*C184)*C185)*E183,E183-E186),0)</f>
        <v>195667</v>
      </c>
      <c r="D201" s="77"/>
      <c r="E201" s="77"/>
      <c r="F201" s="115"/>
      <c r="I201" s="116"/>
      <c r="J201" s="116"/>
    </row>
    <row r="202" spans="1:10" x14ac:dyDescent="0.2">
      <c r="A202" s="74" t="s">
        <v>105</v>
      </c>
      <c r="B202" s="75" t="s">
        <v>31</v>
      </c>
      <c r="C202" s="77">
        <f>IFERROR(IF(C185&gt;=C184,C201,((((C201)-(E183-E186))*(((C184-C185)+1)/(2*(C184-C185))))+(E183-E186))),0)</f>
        <v>138275.91223000002</v>
      </c>
      <c r="D202" s="77"/>
      <c r="E202" s="77"/>
      <c r="F202" s="115"/>
      <c r="I202" s="116"/>
      <c r="J202" s="116"/>
    </row>
    <row r="203" spans="1:10" x14ac:dyDescent="0.2">
      <c r="A203" s="117" t="s">
        <v>106</v>
      </c>
      <c r="B203" s="118" t="s">
        <v>31</v>
      </c>
      <c r="C203" s="118"/>
      <c r="D203" s="119">
        <f>C200*C202/12/100</f>
        <v>748.99452457916675</v>
      </c>
      <c r="E203" s="119">
        <f>D203</f>
        <v>748.99452457916675</v>
      </c>
      <c r="F203" s="115"/>
      <c r="I203" s="116"/>
      <c r="J203" s="116"/>
    </row>
    <row r="204" spans="1:10" x14ac:dyDescent="0.2">
      <c r="A204" s="71" t="s">
        <v>107</v>
      </c>
      <c r="B204" s="72" t="s">
        <v>63</v>
      </c>
      <c r="C204" s="72">
        <f>C188</f>
        <v>1</v>
      </c>
      <c r="D204" s="73">
        <f>D188</f>
        <v>105000</v>
      </c>
      <c r="E204" s="73">
        <f>C204*D204</f>
        <v>105000</v>
      </c>
      <c r="F204" s="115"/>
      <c r="I204" s="116"/>
      <c r="J204" s="116"/>
    </row>
    <row r="205" spans="1:10" x14ac:dyDescent="0.2">
      <c r="A205" s="74" t="s">
        <v>103</v>
      </c>
      <c r="B205" s="75" t="s">
        <v>8</v>
      </c>
      <c r="C205" s="126">
        <f>C200</f>
        <v>6.5</v>
      </c>
      <c r="D205" s="77"/>
      <c r="E205" s="77"/>
      <c r="F205" s="115"/>
      <c r="I205" s="116"/>
      <c r="J205" s="116"/>
    </row>
    <row r="206" spans="1:10" x14ac:dyDescent="0.2">
      <c r="A206" s="74" t="s">
        <v>108</v>
      </c>
      <c r="B206" s="75" t="s">
        <v>31</v>
      </c>
      <c r="C206" s="125">
        <f>IFERROR(IF(C190&lt;=C189,E188-(C191/(100*C189)*C190)*E188,E188-E191),0)</f>
        <v>105000</v>
      </c>
      <c r="D206" s="77"/>
      <c r="E206" s="77"/>
      <c r="F206" s="115"/>
      <c r="I206" s="116"/>
      <c r="J206" s="116"/>
    </row>
    <row r="207" spans="1:10" x14ac:dyDescent="0.2">
      <c r="A207" s="74" t="s">
        <v>109</v>
      </c>
      <c r="B207" s="75" t="s">
        <v>31</v>
      </c>
      <c r="C207" s="77">
        <f>IFERROR(IF(C190&gt;=C189,C206,((((C206)-(E188-E191))*(((C189-C190)+1)/(2*(C189-C190))))+(E188-E191))),0)</f>
        <v>74202.45</v>
      </c>
      <c r="D207" s="77"/>
      <c r="E207" s="77"/>
      <c r="F207" s="115"/>
      <c r="I207" s="116"/>
      <c r="J207" s="116"/>
    </row>
    <row r="208" spans="1:10" x14ac:dyDescent="0.2">
      <c r="A208" s="90" t="s">
        <v>110</v>
      </c>
      <c r="B208" s="120" t="s">
        <v>31</v>
      </c>
      <c r="C208" s="120"/>
      <c r="D208" s="91">
        <f>C205*C207/12/100</f>
        <v>401.92993749999999</v>
      </c>
      <c r="E208" s="91">
        <f>D208</f>
        <v>401.92993749999999</v>
      </c>
      <c r="F208" s="115"/>
      <c r="I208" s="116"/>
      <c r="J208" s="116"/>
    </row>
    <row r="209" spans="1:10" x14ac:dyDescent="0.2">
      <c r="A209" s="78" t="s">
        <v>99</v>
      </c>
      <c r="B209" s="79"/>
      <c r="C209" s="79"/>
      <c r="D209" s="80"/>
      <c r="E209" s="81">
        <f>E203+E208</f>
        <v>1150.9244620791667</v>
      </c>
      <c r="F209" s="115"/>
      <c r="I209" s="116"/>
      <c r="J209" s="116"/>
    </row>
    <row r="210" spans="1:10" x14ac:dyDescent="0.2">
      <c r="A210" s="90" t="s">
        <v>100</v>
      </c>
      <c r="B210" s="120" t="s">
        <v>63</v>
      </c>
      <c r="C210" s="126">
        <f>C194</f>
        <v>1</v>
      </c>
      <c r="D210" s="91">
        <f>E209</f>
        <v>1150.9244620791667</v>
      </c>
      <c r="E210" s="81">
        <f>C210*D210</f>
        <v>1150.9244620791667</v>
      </c>
      <c r="F210" s="115"/>
      <c r="I210" s="116"/>
      <c r="J210" s="116"/>
    </row>
    <row r="211" spans="1:10" x14ac:dyDescent="0.2">
      <c r="C211" s="127"/>
      <c r="D211" s="84" t="s">
        <v>39</v>
      </c>
      <c r="E211" s="85">
        <f>$B$49</f>
        <v>0.4</v>
      </c>
      <c r="F211" s="113">
        <f>E210*E211</f>
        <v>460.36978483166672</v>
      </c>
      <c r="I211" s="116"/>
      <c r="J211" s="116"/>
    </row>
    <row r="212" spans="1:10" ht="11.25" customHeight="1" x14ac:dyDescent="0.2">
      <c r="I212" s="116"/>
      <c r="J212" s="116"/>
    </row>
    <row r="213" spans="1:10" x14ac:dyDescent="0.2">
      <c r="A213" s="1" t="s">
        <v>111</v>
      </c>
      <c r="I213" s="116"/>
      <c r="J213" s="116"/>
    </row>
    <row r="214" spans="1:10" x14ac:dyDescent="0.2">
      <c r="A214" s="67" t="s">
        <v>18</v>
      </c>
      <c r="B214" s="68" t="s">
        <v>19</v>
      </c>
      <c r="C214" s="68" t="s">
        <v>12</v>
      </c>
      <c r="D214" s="69" t="s">
        <v>20</v>
      </c>
      <c r="E214" s="69" t="s">
        <v>21</v>
      </c>
      <c r="F214" s="70" t="s">
        <v>22</v>
      </c>
      <c r="I214" s="116"/>
      <c r="J214" s="116"/>
    </row>
    <row r="215" spans="1:10" x14ac:dyDescent="0.2">
      <c r="A215" s="71" t="s">
        <v>112</v>
      </c>
      <c r="B215" s="72" t="s">
        <v>63</v>
      </c>
      <c r="C215" s="73">
        <f>C194</f>
        <v>1</v>
      </c>
      <c r="D215" s="73">
        <f>0.01*($E$183)</f>
        <v>1956.67</v>
      </c>
      <c r="E215" s="73">
        <f>C215*D215</f>
        <v>1956.67</v>
      </c>
      <c r="I215" s="116"/>
      <c r="J215" s="116"/>
    </row>
    <row r="216" spans="1:10" x14ac:dyDescent="0.2">
      <c r="A216" s="74" t="s">
        <v>113</v>
      </c>
      <c r="B216" s="75" t="s">
        <v>63</v>
      </c>
      <c r="C216" s="73">
        <f>C194</f>
        <v>1</v>
      </c>
      <c r="D216" s="266">
        <v>300</v>
      </c>
      <c r="E216" s="77">
        <f>C216*D216</f>
        <v>300</v>
      </c>
      <c r="I216" s="116"/>
      <c r="J216" s="116"/>
    </row>
    <row r="217" spans="1:10" x14ac:dyDescent="0.2">
      <c r="A217" s="74" t="s">
        <v>114</v>
      </c>
      <c r="B217" s="75" t="s">
        <v>63</v>
      </c>
      <c r="C217" s="73">
        <f>C194</f>
        <v>1</v>
      </c>
      <c r="D217" s="266">
        <v>3000</v>
      </c>
      <c r="E217" s="77">
        <f>C217*D217</f>
        <v>3000</v>
      </c>
      <c r="F217" s="80"/>
      <c r="I217" s="116"/>
      <c r="J217" s="116"/>
    </row>
    <row r="218" spans="1:10" x14ac:dyDescent="0.2">
      <c r="A218" s="90" t="s">
        <v>115</v>
      </c>
      <c r="B218" s="120" t="s">
        <v>24</v>
      </c>
      <c r="C218" s="120">
        <v>12</v>
      </c>
      <c r="D218" s="91">
        <f>SUM(E215:E217)</f>
        <v>5256.67</v>
      </c>
      <c r="E218" s="91">
        <f>D218/C218</f>
        <v>438.05583333333334</v>
      </c>
      <c r="I218" s="116"/>
      <c r="J218" s="116"/>
    </row>
    <row r="219" spans="1:10" x14ac:dyDescent="0.2">
      <c r="D219" s="84" t="s">
        <v>39</v>
      </c>
      <c r="E219" s="85">
        <f>$B$49</f>
        <v>0.4</v>
      </c>
      <c r="F219" s="86">
        <f>E218*E219</f>
        <v>175.22233333333335</v>
      </c>
      <c r="I219" s="116"/>
      <c r="J219" s="116"/>
    </row>
    <row r="220" spans="1:10" ht="11.25" customHeight="1" x14ac:dyDescent="0.2">
      <c r="I220" s="116"/>
      <c r="J220" s="116"/>
    </row>
    <row r="221" spans="1:10" x14ac:dyDescent="0.2">
      <c r="A221" s="1" t="s">
        <v>116</v>
      </c>
      <c r="B221" s="128"/>
      <c r="I221" s="116"/>
      <c r="J221" s="116"/>
    </row>
    <row r="222" spans="1:10" x14ac:dyDescent="0.2">
      <c r="B222" s="128"/>
      <c r="I222" s="116"/>
      <c r="J222" s="116"/>
    </row>
    <row r="223" spans="1:10" x14ac:dyDescent="0.2">
      <c r="A223" s="90" t="s">
        <v>117</v>
      </c>
      <c r="B223" s="278">
        <v>2900</v>
      </c>
      <c r="I223" s="116"/>
      <c r="J223" s="116"/>
    </row>
    <row r="224" spans="1:10" x14ac:dyDescent="0.2">
      <c r="B224" s="128"/>
      <c r="I224" s="116"/>
      <c r="J224" s="116"/>
    </row>
    <row r="225" spans="1:10" x14ac:dyDescent="0.2">
      <c r="A225" s="67" t="s">
        <v>18</v>
      </c>
      <c r="B225" s="68" t="s">
        <v>19</v>
      </c>
      <c r="C225" s="68" t="s">
        <v>118</v>
      </c>
      <c r="D225" s="69" t="s">
        <v>20</v>
      </c>
      <c r="E225" s="69" t="s">
        <v>21</v>
      </c>
      <c r="F225" s="70" t="s">
        <v>22</v>
      </c>
      <c r="I225" s="116"/>
      <c r="J225" s="116"/>
    </row>
    <row r="226" spans="1:10" x14ac:dyDescent="0.2">
      <c r="A226" s="71" t="s">
        <v>119</v>
      </c>
      <c r="B226" s="72" t="s">
        <v>120</v>
      </c>
      <c r="C226" s="279">
        <v>3.2</v>
      </c>
      <c r="D226" s="280">
        <v>3.58</v>
      </c>
      <c r="E226" s="73"/>
      <c r="I226" s="116"/>
      <c r="J226" s="116"/>
    </row>
    <row r="227" spans="1:10" x14ac:dyDescent="0.2">
      <c r="A227" s="74" t="s">
        <v>121</v>
      </c>
      <c r="B227" s="75" t="s">
        <v>122</v>
      </c>
      <c r="C227" s="281">
        <f>B223</f>
        <v>2900</v>
      </c>
      <c r="D227" s="280">
        <f>IFERROR(+D226/C226,"-")</f>
        <v>1.1187499999999999</v>
      </c>
      <c r="E227" s="77">
        <f>IFERROR(C227*D227,"-")</f>
        <v>3244.3749999999995</v>
      </c>
      <c r="I227" s="116"/>
      <c r="J227" s="116"/>
    </row>
    <row r="228" spans="1:10" x14ac:dyDescent="0.2">
      <c r="A228" s="74" t="s">
        <v>123</v>
      </c>
      <c r="B228" s="75" t="s">
        <v>124</v>
      </c>
      <c r="C228" s="282">
        <v>3</v>
      </c>
      <c r="D228" s="266">
        <v>18</v>
      </c>
      <c r="E228" s="77"/>
      <c r="I228" s="116"/>
      <c r="J228" s="116"/>
    </row>
    <row r="229" spans="1:10" x14ac:dyDescent="0.2">
      <c r="A229" s="74" t="s">
        <v>125</v>
      </c>
      <c r="B229" s="75" t="s">
        <v>122</v>
      </c>
      <c r="C229" s="281">
        <f>C227</f>
        <v>2900</v>
      </c>
      <c r="D229" s="283">
        <f>+C228*D228/1000</f>
        <v>5.3999999999999999E-2</v>
      </c>
      <c r="E229" s="77">
        <f>C229*D229</f>
        <v>156.6</v>
      </c>
      <c r="I229" s="116"/>
      <c r="J229" s="116"/>
    </row>
    <row r="230" spans="1:10" x14ac:dyDescent="0.2">
      <c r="A230" s="74" t="s">
        <v>126</v>
      </c>
      <c r="B230" s="75" t="s">
        <v>124</v>
      </c>
      <c r="C230" s="282">
        <v>0.2</v>
      </c>
      <c r="D230" s="266">
        <v>18</v>
      </c>
      <c r="E230" s="77"/>
      <c r="I230" s="116"/>
      <c r="J230" s="116"/>
    </row>
    <row r="231" spans="1:10" x14ac:dyDescent="0.2">
      <c r="A231" s="74" t="s">
        <v>127</v>
      </c>
      <c r="B231" s="75" t="s">
        <v>122</v>
      </c>
      <c r="C231" s="281">
        <f>C227</f>
        <v>2900</v>
      </c>
      <c r="D231" s="283">
        <f>+C230*D230/1000</f>
        <v>3.5999999999999999E-3</v>
      </c>
      <c r="E231" s="77">
        <f>C231*D231</f>
        <v>10.44</v>
      </c>
      <c r="I231" s="116"/>
      <c r="J231" s="116"/>
    </row>
    <row r="232" spans="1:10" x14ac:dyDescent="0.2">
      <c r="A232" s="74" t="s">
        <v>128</v>
      </c>
      <c r="B232" s="75" t="s">
        <v>124</v>
      </c>
      <c r="C232" s="282">
        <v>0.2</v>
      </c>
      <c r="D232" s="266">
        <v>18</v>
      </c>
      <c r="E232" s="77"/>
      <c r="I232" s="116"/>
      <c r="J232" s="116"/>
    </row>
    <row r="233" spans="1:10" x14ac:dyDescent="0.2">
      <c r="A233" s="74" t="s">
        <v>129</v>
      </c>
      <c r="B233" s="75" t="s">
        <v>122</v>
      </c>
      <c r="C233" s="281">
        <f>C227</f>
        <v>2900</v>
      </c>
      <c r="D233" s="283">
        <f>+C232*D232/1000</f>
        <v>3.5999999999999999E-3</v>
      </c>
      <c r="E233" s="77">
        <f>C233*D233</f>
        <v>10.44</v>
      </c>
      <c r="I233" s="116"/>
      <c r="J233" s="116"/>
    </row>
    <row r="234" spans="1:10" x14ac:dyDescent="0.2">
      <c r="A234" s="74" t="s">
        <v>130</v>
      </c>
      <c r="B234" s="75" t="s">
        <v>131</v>
      </c>
      <c r="C234" s="282">
        <v>0.5</v>
      </c>
      <c r="D234" s="266">
        <v>14</v>
      </c>
      <c r="E234" s="77"/>
      <c r="I234" s="116"/>
      <c r="J234" s="116"/>
    </row>
    <row r="235" spans="1:10" x14ac:dyDescent="0.2">
      <c r="A235" s="74" t="s">
        <v>132</v>
      </c>
      <c r="B235" s="75" t="s">
        <v>122</v>
      </c>
      <c r="C235" s="281">
        <f>C227</f>
        <v>2900</v>
      </c>
      <c r="D235" s="283">
        <f>+C234*D234/1000</f>
        <v>7.0000000000000001E-3</v>
      </c>
      <c r="E235" s="77">
        <f>C235*D235</f>
        <v>20.3</v>
      </c>
      <c r="I235" s="116"/>
      <c r="J235" s="116"/>
    </row>
    <row r="236" spans="1:10" x14ac:dyDescent="0.2">
      <c r="A236" s="90" t="s">
        <v>133</v>
      </c>
      <c r="B236" s="120" t="s">
        <v>134</v>
      </c>
      <c r="C236" s="284"/>
      <c r="D236" s="285">
        <f>IFERROR(D227+D229+D231+D233+D235,0)</f>
        <v>1.1869499999999999</v>
      </c>
      <c r="E236" s="77"/>
      <c r="I236" s="116"/>
      <c r="J236" s="116"/>
    </row>
    <row r="237" spans="1:10" x14ac:dyDescent="0.2">
      <c r="F237" s="113">
        <f>SUM(E226:E235)</f>
        <v>3442.1549999999997</v>
      </c>
      <c r="I237" s="116"/>
      <c r="J237" s="116"/>
    </row>
    <row r="238" spans="1:10" ht="11.25" customHeight="1" x14ac:dyDescent="0.2">
      <c r="I238" s="116"/>
      <c r="J238" s="116"/>
    </row>
    <row r="239" spans="1:10" x14ac:dyDescent="0.2">
      <c r="A239" s="1" t="s">
        <v>135</v>
      </c>
      <c r="I239" s="116"/>
      <c r="J239" s="116"/>
    </row>
    <row r="240" spans="1:10" x14ac:dyDescent="0.2">
      <c r="A240" s="67" t="s">
        <v>18</v>
      </c>
      <c r="B240" s="68" t="s">
        <v>19</v>
      </c>
      <c r="C240" s="68" t="s">
        <v>12</v>
      </c>
      <c r="D240" s="69" t="s">
        <v>20</v>
      </c>
      <c r="E240" s="69" t="s">
        <v>21</v>
      </c>
      <c r="F240" s="70" t="s">
        <v>22</v>
      </c>
      <c r="I240" s="116"/>
      <c r="J240" s="116"/>
    </row>
    <row r="241" spans="1:10" x14ac:dyDescent="0.2">
      <c r="A241" s="71" t="s">
        <v>136</v>
      </c>
      <c r="B241" s="72" t="s">
        <v>134</v>
      </c>
      <c r="C241" s="95">
        <f>C227</f>
        <v>2900</v>
      </c>
      <c r="D241" s="265">
        <v>0.22</v>
      </c>
      <c r="E241" s="73">
        <f>C241*D241</f>
        <v>638</v>
      </c>
      <c r="I241" s="116"/>
      <c r="J241" s="116"/>
    </row>
    <row r="242" spans="1:10" x14ac:dyDescent="0.2">
      <c r="F242" s="113">
        <f>E241</f>
        <v>638</v>
      </c>
      <c r="I242" s="116"/>
      <c r="J242" s="116"/>
    </row>
    <row r="243" spans="1:10" ht="11.25" customHeight="1" x14ac:dyDescent="0.2">
      <c r="I243" s="116"/>
      <c r="J243" s="116"/>
    </row>
    <row r="244" spans="1:10" x14ac:dyDescent="0.2">
      <c r="A244" s="1" t="s">
        <v>137</v>
      </c>
      <c r="I244" s="116"/>
      <c r="J244" s="116"/>
    </row>
    <row r="245" spans="1:10" x14ac:dyDescent="0.2">
      <c r="A245" s="67" t="s">
        <v>18</v>
      </c>
      <c r="B245" s="68" t="s">
        <v>19</v>
      </c>
      <c r="C245" s="68" t="s">
        <v>12</v>
      </c>
      <c r="D245" s="69" t="s">
        <v>20</v>
      </c>
      <c r="E245" s="69" t="s">
        <v>21</v>
      </c>
      <c r="F245" s="70" t="s">
        <v>22</v>
      </c>
      <c r="I245" s="116"/>
      <c r="J245" s="116"/>
    </row>
    <row r="246" spans="1:10" x14ac:dyDescent="0.2">
      <c r="A246" s="71" t="s">
        <v>138</v>
      </c>
      <c r="B246" s="72" t="s">
        <v>63</v>
      </c>
      <c r="C246" s="270">
        <v>6</v>
      </c>
      <c r="D246" s="265">
        <v>1650</v>
      </c>
      <c r="E246" s="73">
        <f>C246*D246</f>
        <v>9900</v>
      </c>
      <c r="I246" s="116"/>
      <c r="J246" s="116"/>
    </row>
    <row r="247" spans="1:10" x14ac:dyDescent="0.2">
      <c r="A247" s="71" t="s">
        <v>139</v>
      </c>
      <c r="B247" s="72" t="s">
        <v>63</v>
      </c>
      <c r="C247" s="270">
        <v>2</v>
      </c>
      <c r="D247" s="265"/>
      <c r="E247" s="73"/>
      <c r="I247" s="116"/>
      <c r="J247" s="116"/>
    </row>
    <row r="248" spans="1:10" x14ac:dyDescent="0.2">
      <c r="A248" s="71" t="s">
        <v>140</v>
      </c>
      <c r="B248" s="72" t="s">
        <v>63</v>
      </c>
      <c r="C248" s="265">
        <f>C246*C247</f>
        <v>12</v>
      </c>
      <c r="D248" s="265">
        <v>519</v>
      </c>
      <c r="E248" s="73">
        <f>C248*D248</f>
        <v>6228</v>
      </c>
      <c r="I248" s="116"/>
      <c r="J248" s="116"/>
    </row>
    <row r="249" spans="1:10" x14ac:dyDescent="0.2">
      <c r="A249" s="74" t="s">
        <v>141</v>
      </c>
      <c r="B249" s="75" t="s">
        <v>142</v>
      </c>
      <c r="C249" s="286">
        <v>50000</v>
      </c>
      <c r="D249" s="266">
        <f>E246+E248</f>
        <v>16128</v>
      </c>
      <c r="E249" s="77">
        <f>IFERROR(D249/C249,"-")</f>
        <v>0.32256000000000001</v>
      </c>
      <c r="I249" s="116"/>
      <c r="J249" s="116"/>
    </row>
    <row r="250" spans="1:10" x14ac:dyDescent="0.2">
      <c r="A250" s="74" t="s">
        <v>143</v>
      </c>
      <c r="B250" s="75" t="s">
        <v>122</v>
      </c>
      <c r="C250" s="95">
        <f>B223</f>
        <v>2900</v>
      </c>
      <c r="D250" s="77">
        <f>E249</f>
        <v>0.32256000000000001</v>
      </c>
      <c r="E250" s="77">
        <f>IFERROR(C250*D250,0)</f>
        <v>935.42400000000009</v>
      </c>
      <c r="I250" s="116"/>
      <c r="J250" s="116"/>
    </row>
    <row r="251" spans="1:10" x14ac:dyDescent="0.2">
      <c r="F251" s="113">
        <f>E250</f>
        <v>935.42400000000009</v>
      </c>
      <c r="I251" s="116"/>
      <c r="J251" s="116"/>
    </row>
    <row r="252" spans="1:10" ht="11.25" customHeight="1" x14ac:dyDescent="0.2">
      <c r="I252" s="116"/>
      <c r="J252" s="116"/>
    </row>
    <row r="253" spans="1:10" ht="11.25" customHeight="1" x14ac:dyDescent="0.2">
      <c r="G253" s="1"/>
    </row>
    <row r="254" spans="1:10" s="1" customFormat="1" x14ac:dyDescent="0.2">
      <c r="A254" s="101" t="s">
        <v>144</v>
      </c>
      <c r="B254" s="102"/>
      <c r="C254" s="102"/>
      <c r="D254" s="39"/>
      <c r="E254" s="103"/>
      <c r="F254" s="113">
        <f>+SUM(F183:F253)</f>
        <v>6304.420286831667</v>
      </c>
    </row>
    <row r="255" spans="1:10" ht="11.25" customHeight="1" x14ac:dyDescent="0.2">
      <c r="G255" s="1"/>
    </row>
    <row r="256" spans="1:10" s="1" customFormat="1" x14ac:dyDescent="0.2">
      <c r="A256" s="65" t="s">
        <v>145</v>
      </c>
      <c r="B256" s="65"/>
      <c r="C256" s="65"/>
      <c r="D256" s="24"/>
      <c r="E256" s="24"/>
      <c r="F256" s="80"/>
    </row>
    <row r="257" spans="1:7" ht="11.25" customHeight="1" x14ac:dyDescent="0.2">
      <c r="G257" s="1"/>
    </row>
    <row r="258" spans="1:7" s="1" customFormat="1" x14ac:dyDescent="0.2">
      <c r="A258" s="67" t="s">
        <v>18</v>
      </c>
      <c r="B258" s="68" t="s">
        <v>19</v>
      </c>
      <c r="C258" s="68" t="s">
        <v>12</v>
      </c>
      <c r="D258" s="69" t="s">
        <v>20</v>
      </c>
      <c r="E258" s="69" t="s">
        <v>21</v>
      </c>
      <c r="F258" s="70" t="s">
        <v>22</v>
      </c>
    </row>
    <row r="259" spans="1:7" s="1" customFormat="1" x14ac:dyDescent="0.2">
      <c r="A259" s="74" t="s">
        <v>146</v>
      </c>
      <c r="B259" s="75" t="s">
        <v>63</v>
      </c>
      <c r="C259" s="269">
        <v>0.08</v>
      </c>
      <c r="D259" s="265">
        <v>35</v>
      </c>
      <c r="E259" s="77">
        <f>C259*D259</f>
        <v>2.8000000000000003</v>
      </c>
      <c r="F259" s="115"/>
    </row>
    <row r="260" spans="1:7" s="1" customFormat="1" x14ac:dyDescent="0.2">
      <c r="A260" s="74" t="s">
        <v>147</v>
      </c>
      <c r="B260" s="75" t="s">
        <v>63</v>
      </c>
      <c r="C260" s="269">
        <v>0.08</v>
      </c>
      <c r="D260" s="265">
        <v>30</v>
      </c>
      <c r="E260" s="77">
        <f>C260*D260</f>
        <v>2.4</v>
      </c>
      <c r="F260" s="115"/>
    </row>
    <row r="261" spans="1:7" s="1" customFormat="1" x14ac:dyDescent="0.2">
      <c r="A261" s="74" t="s">
        <v>148</v>
      </c>
      <c r="B261" s="75" t="s">
        <v>63</v>
      </c>
      <c r="C261" s="269">
        <v>1</v>
      </c>
      <c r="D261" s="265">
        <v>30</v>
      </c>
      <c r="E261" s="77">
        <f>C261*D261</f>
        <v>30</v>
      </c>
      <c r="F261" s="115"/>
    </row>
    <row r="262" spans="1:7" s="1" customFormat="1" x14ac:dyDescent="0.2">
      <c r="A262" s="74" t="s">
        <v>149</v>
      </c>
      <c r="B262" s="75" t="s">
        <v>150</v>
      </c>
      <c r="C262" s="269">
        <v>4.2000000000000003E-2</v>
      </c>
      <c r="D262" s="265">
        <v>500</v>
      </c>
      <c r="E262" s="77">
        <f>C262*D262</f>
        <v>21</v>
      </c>
      <c r="F262" s="115"/>
    </row>
    <row r="263" spans="1:7" s="1" customFormat="1" x14ac:dyDescent="0.2">
      <c r="A263" s="74" t="s">
        <v>151</v>
      </c>
      <c r="B263" s="75" t="s">
        <v>150</v>
      </c>
      <c r="C263" s="269">
        <v>4.2000000000000003E-2</v>
      </c>
      <c r="D263" s="265">
        <v>500</v>
      </c>
      <c r="E263" s="77">
        <f>C263*D263</f>
        <v>21</v>
      </c>
      <c r="F263" s="115"/>
    </row>
    <row r="264" spans="1:7" s="1" customFormat="1" x14ac:dyDescent="0.2">
      <c r="A264" s="65"/>
      <c r="B264" s="65"/>
      <c r="C264" s="65"/>
      <c r="D264" s="65"/>
      <c r="E264" s="24"/>
      <c r="F264" s="113">
        <f>SUM(E259:E263)</f>
        <v>77.2</v>
      </c>
    </row>
    <row r="265" spans="1:7" ht="11.25" customHeight="1" x14ac:dyDescent="0.2">
      <c r="G265" s="1"/>
    </row>
    <row r="266" spans="1:7" s="1" customFormat="1" x14ac:dyDescent="0.2">
      <c r="A266" s="101" t="s">
        <v>152</v>
      </c>
      <c r="B266" s="102"/>
      <c r="C266" s="102"/>
      <c r="D266" s="39"/>
      <c r="E266" s="103"/>
      <c r="F266" s="113">
        <f>+F264</f>
        <v>77.2</v>
      </c>
    </row>
    <row r="267" spans="1:7" ht="11.25" customHeight="1" x14ac:dyDescent="0.2">
      <c r="G267" s="1"/>
    </row>
    <row r="268" spans="1:7" x14ac:dyDescent="0.2">
      <c r="A268" s="65" t="s">
        <v>153</v>
      </c>
      <c r="B268" s="65"/>
      <c r="C268" s="65"/>
      <c r="D268" s="24"/>
      <c r="E268" s="24"/>
      <c r="F268" s="80"/>
    </row>
    <row r="269" spans="1:7" ht="11.25" customHeight="1" x14ac:dyDescent="0.2"/>
    <row r="270" spans="1:7" x14ac:dyDescent="0.2">
      <c r="A270" s="67" t="s">
        <v>18</v>
      </c>
      <c r="B270" s="68" t="s">
        <v>19</v>
      </c>
      <c r="C270" s="68" t="s">
        <v>12</v>
      </c>
      <c r="D270" s="69" t="s">
        <v>20</v>
      </c>
      <c r="E270" s="69" t="s">
        <v>21</v>
      </c>
      <c r="F270" s="70" t="s">
        <v>22</v>
      </c>
    </row>
    <row r="271" spans="1:7" x14ac:dyDescent="0.2">
      <c r="A271" s="74" t="s">
        <v>154</v>
      </c>
      <c r="B271" s="129" t="s">
        <v>150</v>
      </c>
      <c r="C271" s="109">
        <f>C183</f>
        <v>1</v>
      </c>
      <c r="D271" s="266">
        <v>350</v>
      </c>
      <c r="E271" s="77">
        <f>+D271*C271</f>
        <v>350</v>
      </c>
      <c r="F271" s="115"/>
    </row>
    <row r="272" spans="1:7" x14ac:dyDescent="0.2">
      <c r="A272" s="74" t="s">
        <v>155</v>
      </c>
      <c r="B272" s="129" t="s">
        <v>24</v>
      </c>
      <c r="C272" s="75">
        <v>60</v>
      </c>
      <c r="D272" s="287">
        <f>SUM(E271:E271)</f>
        <v>350</v>
      </c>
      <c r="E272" s="130">
        <f>+D272/C272</f>
        <v>5.833333333333333</v>
      </c>
      <c r="F272" s="115"/>
    </row>
    <row r="273" spans="1:7" x14ac:dyDescent="0.2">
      <c r="A273" s="74" t="s">
        <v>156</v>
      </c>
      <c r="B273" s="75" t="s">
        <v>63</v>
      </c>
      <c r="C273" s="109">
        <f>+C271</f>
        <v>1</v>
      </c>
      <c r="D273" s="266">
        <v>75</v>
      </c>
      <c r="E273" s="77">
        <f>C273*D273</f>
        <v>75</v>
      </c>
      <c r="F273" s="115"/>
    </row>
    <row r="274" spans="1:7" x14ac:dyDescent="0.2">
      <c r="A274" s="74" t="s">
        <v>157</v>
      </c>
      <c r="B274" s="129" t="s">
        <v>24</v>
      </c>
      <c r="C274" s="75">
        <v>1</v>
      </c>
      <c r="D274" s="130">
        <f>+E273</f>
        <v>75</v>
      </c>
      <c r="E274" s="130">
        <f>+D274/C274</f>
        <v>75</v>
      </c>
      <c r="F274" s="115"/>
    </row>
    <row r="275" spans="1:7" x14ac:dyDescent="0.2">
      <c r="A275" s="131"/>
      <c r="B275" s="131"/>
      <c r="C275" s="131"/>
      <c r="D275" s="84" t="s">
        <v>39</v>
      </c>
      <c r="E275" s="85">
        <f>$B$49</f>
        <v>0.4</v>
      </c>
      <c r="F275" s="113">
        <f>(E272+E274)*E275</f>
        <v>32.333333333333336</v>
      </c>
    </row>
    <row r="276" spans="1:7" s="133" customFormat="1" ht="11.25" customHeight="1" x14ac:dyDescent="0.2">
      <c r="A276" s="1"/>
      <c r="B276" s="1"/>
      <c r="C276" s="1"/>
      <c r="D276" s="2"/>
      <c r="E276" s="2"/>
      <c r="F276" s="2"/>
      <c r="G276" s="132"/>
    </row>
    <row r="277" spans="1:7" x14ac:dyDescent="0.2">
      <c r="A277" s="101" t="s">
        <v>158</v>
      </c>
      <c r="B277" s="102"/>
      <c r="C277" s="102"/>
      <c r="D277" s="39"/>
      <c r="E277" s="103"/>
      <c r="F277" s="113">
        <f>+F275</f>
        <v>32.333333333333336</v>
      </c>
    </row>
    <row r="278" spans="1:7" x14ac:dyDescent="0.2">
      <c r="A278" s="65"/>
      <c r="B278" s="65"/>
      <c r="C278" s="65"/>
      <c r="D278" s="24"/>
      <c r="E278" s="24"/>
      <c r="F278" s="134"/>
    </row>
    <row r="279" spans="1:7" ht="11.25" customHeight="1" x14ac:dyDescent="0.2">
      <c r="A279" s="65" t="s">
        <v>159</v>
      </c>
      <c r="B279" s="8"/>
      <c r="C279" s="8"/>
      <c r="F279" s="24"/>
    </row>
    <row r="280" spans="1:7" ht="17.25" customHeight="1" x14ac:dyDescent="0.2">
      <c r="A280" s="67" t="s">
        <v>18</v>
      </c>
      <c r="B280" s="68" t="s">
        <v>19</v>
      </c>
      <c r="C280" s="68" t="s">
        <v>12</v>
      </c>
      <c r="D280" s="69" t="s">
        <v>20</v>
      </c>
      <c r="E280" s="69" t="s">
        <v>21</v>
      </c>
      <c r="F280" s="70" t="s">
        <v>22</v>
      </c>
    </row>
    <row r="281" spans="1:7" ht="11.25" customHeight="1" x14ac:dyDescent="0.2">
      <c r="A281" s="71" t="s">
        <v>160</v>
      </c>
      <c r="B281" s="72" t="s">
        <v>161</v>
      </c>
      <c r="C281" s="266">
        <v>51.1</v>
      </c>
      <c r="D281" s="73">
        <v>117</v>
      </c>
      <c r="E281" s="73">
        <f>C281*D281</f>
        <v>5978.7</v>
      </c>
    </row>
    <row r="282" spans="1:7" x14ac:dyDescent="0.2">
      <c r="F282" s="113">
        <f>+E281</f>
        <v>5978.7</v>
      </c>
    </row>
    <row r="283" spans="1:7" ht="11.25" customHeight="1" x14ac:dyDescent="0.2"/>
    <row r="284" spans="1:7" x14ac:dyDescent="0.2">
      <c r="A284" s="101" t="s">
        <v>162</v>
      </c>
      <c r="B284" s="110"/>
      <c r="C284" s="110"/>
      <c r="D284" s="111"/>
      <c r="E284" s="112"/>
      <c r="F284" s="99">
        <f>+F141+F175+F254+F266+F277+F282</f>
        <v>18505.418991765</v>
      </c>
    </row>
    <row r="286" spans="1:7" x14ac:dyDescent="0.2">
      <c r="A286" s="3" t="s">
        <v>163</v>
      </c>
    </row>
    <row r="287" spans="1:7" ht="11.25" customHeight="1" x14ac:dyDescent="0.2"/>
    <row r="288" spans="1:7" x14ac:dyDescent="0.2">
      <c r="A288" s="67" t="s">
        <v>18</v>
      </c>
      <c r="B288" s="68" t="s">
        <v>19</v>
      </c>
      <c r="C288" s="68" t="s">
        <v>12</v>
      </c>
      <c r="D288" s="69" t="s">
        <v>20</v>
      </c>
      <c r="E288" s="69" t="s">
        <v>21</v>
      </c>
      <c r="F288" s="70" t="s">
        <v>22</v>
      </c>
    </row>
    <row r="289" spans="1:7" x14ac:dyDescent="0.2">
      <c r="A289" s="71" t="s">
        <v>164</v>
      </c>
      <c r="B289" s="72" t="s">
        <v>8</v>
      </c>
      <c r="C289" s="266">
        <f>'4.BDI'!C18*100</f>
        <v>31.25</v>
      </c>
      <c r="D289" s="73">
        <f>+F284</f>
        <v>18505.418991765</v>
      </c>
      <c r="E289" s="73">
        <f>C289*D289/100</f>
        <v>5782.9434349265621</v>
      </c>
    </row>
    <row r="290" spans="1:7" ht="11.25" customHeight="1" x14ac:dyDescent="0.2">
      <c r="F290" s="113">
        <f>+E289</f>
        <v>5782.9434349265621</v>
      </c>
    </row>
    <row r="291" spans="1:7" ht="24.75" customHeight="1" x14ac:dyDescent="0.2"/>
    <row r="292" spans="1:7" ht="12.6" customHeight="1" x14ac:dyDescent="0.2">
      <c r="A292" s="101" t="s">
        <v>165</v>
      </c>
      <c r="B292" s="110"/>
      <c r="C292" s="110"/>
      <c r="D292" s="111"/>
      <c r="E292" s="112"/>
      <c r="F292" s="99">
        <f>F290</f>
        <v>5782.9434349265621</v>
      </c>
    </row>
    <row r="293" spans="1:7" x14ac:dyDescent="0.2">
      <c r="A293" s="65"/>
      <c r="B293" s="65"/>
      <c r="C293" s="65"/>
      <c r="D293" s="24"/>
      <c r="E293" s="24"/>
      <c r="F293" s="80"/>
    </row>
    <row r="294" spans="1:7" ht="16.149999999999999" hidden="1" customHeight="1" x14ac:dyDescent="0.2">
      <c r="G294" s="2" t="s">
        <v>166</v>
      </c>
    </row>
    <row r="295" spans="1:7" x14ac:dyDescent="0.2">
      <c r="A295" s="101" t="s">
        <v>167</v>
      </c>
      <c r="B295" s="110"/>
      <c r="C295" s="110"/>
      <c r="D295" s="111"/>
      <c r="E295" s="112"/>
      <c r="F295" s="99">
        <f>F284+F292</f>
        <v>24288.362426691561</v>
      </c>
    </row>
    <row r="296" spans="1:7" ht="25.5" customHeight="1" x14ac:dyDescent="0.2">
      <c r="A296" s="135"/>
      <c r="B296" s="135"/>
      <c r="C296" s="135"/>
      <c r="D296" s="136"/>
      <c r="E296" s="136"/>
      <c r="F296" s="136"/>
      <c r="G296" s="2" t="s">
        <v>166</v>
      </c>
    </row>
    <row r="297" spans="1:7" ht="12.6" customHeight="1" x14ac:dyDescent="0.2">
      <c r="A297" s="11"/>
      <c r="B297" s="11"/>
      <c r="C297" s="11"/>
      <c r="D297" s="10"/>
      <c r="E297" s="10"/>
    </row>
    <row r="298" spans="1:7" s="5" customFormat="1" ht="9.75" customHeight="1" x14ac:dyDescent="0.2">
      <c r="A298" s="137" t="s">
        <v>168</v>
      </c>
      <c r="B298" s="138"/>
      <c r="C298" s="138"/>
      <c r="D298" s="288">
        <f>C281</f>
        <v>51.1</v>
      </c>
      <c r="E298" s="139" t="s">
        <v>169</v>
      </c>
      <c r="F298" s="2"/>
      <c r="G298" s="7"/>
    </row>
    <row r="299" spans="1:7" s="5" customFormat="1" ht="9.75" customHeight="1" x14ac:dyDescent="0.2">
      <c r="A299" s="1"/>
      <c r="B299" s="1"/>
      <c r="C299" s="1"/>
      <c r="D299" s="2"/>
      <c r="E299" s="2"/>
      <c r="F299" s="2"/>
      <c r="G299" s="7"/>
    </row>
    <row r="300" spans="1:7" s="5" customFormat="1" ht="9.75" customHeight="1" x14ac:dyDescent="0.2">
      <c r="A300" s="101" t="s">
        <v>170</v>
      </c>
      <c r="B300" s="102"/>
      <c r="C300" s="102"/>
      <c r="D300" s="39"/>
      <c r="E300" s="140" t="s">
        <v>171</v>
      </c>
      <c r="F300" s="141">
        <f>IFERROR(F295/D298,"-")</f>
        <v>475.31041930903251</v>
      </c>
      <c r="G300" s="7"/>
    </row>
    <row r="301" spans="1:7" x14ac:dyDescent="0.2">
      <c r="A301" s="65"/>
      <c r="B301" s="65"/>
      <c r="C301" s="65"/>
      <c r="D301" s="24"/>
      <c r="E301" s="24"/>
      <c r="F301" s="24"/>
    </row>
    <row r="302" spans="1:7" ht="15.75" x14ac:dyDescent="0.2">
      <c r="A302" s="136"/>
      <c r="B302" s="2"/>
      <c r="C302" s="2"/>
    </row>
    <row r="303" spans="1:7" ht="15.75" x14ac:dyDescent="0.2">
      <c r="A303" s="136"/>
      <c r="B303" s="2"/>
      <c r="C303" s="2"/>
    </row>
    <row r="304" spans="1:7" ht="15.75" x14ac:dyDescent="0.2">
      <c r="A304" s="136"/>
      <c r="B304" s="2"/>
      <c r="C304" s="2"/>
    </row>
    <row r="330" spans="7:7" ht="9" customHeight="1" x14ac:dyDescent="0.2">
      <c r="G330" s="1"/>
    </row>
    <row r="334" spans="7:7" s="1" customFormat="1" x14ac:dyDescent="0.2">
      <c r="G334" s="2"/>
    </row>
  </sheetData>
  <sheetProtection password="8497" sheet="1" formatCells="0" formatColumns="0" formatRows="0" insertColumns="0" insertRows="0" insertHyperlinks="0" deleteColumns="0" deleteRows="0" sort="0" autoFilter="0" pivotTables="0"/>
  <mergeCells count="7">
    <mergeCell ref="A38:D38"/>
    <mergeCell ref="A45:D45"/>
    <mergeCell ref="A8:F8"/>
    <mergeCell ref="A9:F9"/>
    <mergeCell ref="A11:F11"/>
    <mergeCell ref="A21:C21"/>
    <mergeCell ref="A37:E37"/>
  </mergeCells>
  <hyperlinks>
    <hyperlink ref="A181" location="AbaDeprec" display="3.1.1. Depreciação" xr:uid="{00000000-0004-0000-0000-000000000000}"/>
    <hyperlink ref="A197" location="AbaRemun" display="3.1.2. Remuneração do Capital" xr:uid="{00000000-0004-0000-0000-000001000000}"/>
  </hyperlinks>
  <pageMargins left="0.905555555555556" right="0.51180555555555496" top="0.74791666666666701" bottom="0.74791666666666701" header="0.51180555555555496" footer="0.31527777777777799"/>
  <pageSetup paperSize="9" scale="76" firstPageNumber="0" fitToHeight="0" orientation="portrait" horizontalDpi="300" verticalDpi="300" r:id="rId1"/>
  <headerFooter>
    <oddFooter>&amp;R&amp;P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5"/>
  <sheetViews>
    <sheetView view="pageBreakPreview" zoomScaleNormal="100" workbookViewId="0">
      <selection activeCell="C16" sqref="C16"/>
    </sheetView>
  </sheetViews>
  <sheetFormatPr defaultRowHeight="12.75" x14ac:dyDescent="0.2"/>
  <cols>
    <col min="1" max="1" width="13.5703125" style="108" customWidth="1"/>
    <col min="2" max="2" width="36.7109375" style="108" customWidth="1"/>
    <col min="3" max="3" width="14.5703125" style="108" customWidth="1"/>
    <col min="4" max="4" width="37.28515625" style="142" customWidth="1"/>
    <col min="5" max="10" width="9.140625" style="108" customWidth="1"/>
    <col min="11" max="11" width="11" style="108" customWidth="1"/>
    <col min="12" max="1025" width="9.140625" style="108" customWidth="1"/>
  </cols>
  <sheetData>
    <row r="1" spans="1:12" x14ac:dyDescent="0.2">
      <c r="A1" s="3" t="s">
        <v>0</v>
      </c>
    </row>
    <row r="2" spans="1:12" x14ac:dyDescent="0.2">
      <c r="A2" s="4" t="s">
        <v>172</v>
      </c>
    </row>
    <row r="4" spans="1:12" ht="18" x14ac:dyDescent="0.2">
      <c r="A4" s="295" t="s">
        <v>173</v>
      </c>
      <c r="B4" s="295"/>
      <c r="C4" s="295"/>
      <c r="D4" s="143"/>
      <c r="E4" s="143"/>
      <c r="F4" s="143"/>
    </row>
    <row r="5" spans="1:12" ht="14.25" x14ac:dyDescent="0.2">
      <c r="A5" s="144" t="s">
        <v>174</v>
      </c>
      <c r="B5" s="145" t="s">
        <v>175</v>
      </c>
      <c r="C5" s="146" t="s">
        <v>176</v>
      </c>
      <c r="D5" s="147"/>
    </row>
    <row r="6" spans="1:12" ht="14.25" x14ac:dyDescent="0.2">
      <c r="A6" s="144" t="s">
        <v>177</v>
      </c>
      <c r="B6" s="145" t="s">
        <v>178</v>
      </c>
      <c r="C6" s="148">
        <v>0.2</v>
      </c>
      <c r="D6" s="147"/>
      <c r="F6" s="142"/>
      <c r="G6" s="142"/>
      <c r="H6" s="142"/>
      <c r="I6" s="142"/>
      <c r="J6" s="142"/>
      <c r="K6" s="142"/>
      <c r="L6" s="142"/>
    </row>
    <row r="7" spans="1:12" ht="14.25" x14ac:dyDescent="0.2">
      <c r="A7" s="144" t="s">
        <v>179</v>
      </c>
      <c r="B7" s="145" t="s">
        <v>180</v>
      </c>
      <c r="C7" s="148">
        <v>1.4999999999999999E-2</v>
      </c>
      <c r="D7" s="147"/>
      <c r="F7" s="142"/>
      <c r="G7" s="142"/>
      <c r="H7" s="142"/>
      <c r="I7" s="142"/>
      <c r="J7" s="142"/>
      <c r="K7" s="142"/>
      <c r="L7" s="142"/>
    </row>
    <row r="8" spans="1:12" ht="14.25" x14ac:dyDescent="0.2">
      <c r="A8" s="144" t="s">
        <v>181</v>
      </c>
      <c r="B8" s="145" t="s">
        <v>182</v>
      </c>
      <c r="C8" s="148">
        <v>0.01</v>
      </c>
      <c r="D8" s="147"/>
      <c r="F8" s="142"/>
      <c r="G8" s="142"/>
      <c r="H8" s="142"/>
      <c r="I8" s="142"/>
      <c r="J8" s="142"/>
      <c r="K8" s="142"/>
      <c r="L8" s="142"/>
    </row>
    <row r="9" spans="1:12" ht="14.25" x14ac:dyDescent="0.2">
      <c r="A9" s="144" t="s">
        <v>183</v>
      </c>
      <c r="B9" s="145" t="s">
        <v>184</v>
      </c>
      <c r="C9" s="148">
        <v>2E-3</v>
      </c>
      <c r="D9" s="147"/>
      <c r="F9" s="142"/>
      <c r="G9" s="142"/>
      <c r="H9" s="142"/>
      <c r="I9" s="142"/>
      <c r="J9" s="142"/>
      <c r="K9" s="142"/>
      <c r="L9" s="142"/>
    </row>
    <row r="10" spans="1:12" ht="14.25" x14ac:dyDescent="0.2">
      <c r="A10" s="144" t="s">
        <v>185</v>
      </c>
      <c r="B10" s="145" t="s">
        <v>186</v>
      </c>
      <c r="C10" s="148">
        <v>6.0000000000000001E-3</v>
      </c>
      <c r="D10" s="147"/>
      <c r="F10" s="142"/>
      <c r="G10" s="142"/>
      <c r="H10" s="142"/>
      <c r="I10" s="142"/>
      <c r="J10" s="142"/>
      <c r="K10" s="142"/>
      <c r="L10" s="142"/>
    </row>
    <row r="11" spans="1:12" ht="14.25" x14ac:dyDescent="0.2">
      <c r="A11" s="144" t="s">
        <v>187</v>
      </c>
      <c r="B11" s="145" t="s">
        <v>188</v>
      </c>
      <c r="C11" s="148">
        <v>2.5000000000000001E-2</v>
      </c>
      <c r="D11" s="147"/>
      <c r="F11" s="142"/>
      <c r="G11" s="142"/>
      <c r="H11" s="142"/>
      <c r="I11" s="142"/>
      <c r="J11" s="142"/>
      <c r="K11" s="142"/>
      <c r="L11" s="142"/>
    </row>
    <row r="12" spans="1:12" ht="14.25" x14ac:dyDescent="0.2">
      <c r="A12" s="144" t="s">
        <v>189</v>
      </c>
      <c r="B12" s="145" t="s">
        <v>190</v>
      </c>
      <c r="C12" s="148">
        <v>0.03</v>
      </c>
      <c r="D12" s="147"/>
      <c r="F12" s="142"/>
      <c r="G12" s="142"/>
      <c r="H12" s="142"/>
      <c r="I12" s="142"/>
      <c r="J12" s="142"/>
      <c r="K12" s="142"/>
      <c r="L12" s="142"/>
    </row>
    <row r="13" spans="1:12" ht="14.25" x14ac:dyDescent="0.2">
      <c r="A13" s="144" t="s">
        <v>191</v>
      </c>
      <c r="B13" s="145" t="s">
        <v>192</v>
      </c>
      <c r="C13" s="148">
        <v>0.08</v>
      </c>
      <c r="D13" s="147"/>
      <c r="F13" s="142"/>
      <c r="G13" s="142"/>
      <c r="H13" s="142"/>
      <c r="I13" s="142"/>
      <c r="J13" s="142"/>
      <c r="K13" s="142"/>
      <c r="L13" s="142"/>
    </row>
    <row r="14" spans="1:12" ht="15" x14ac:dyDescent="0.2">
      <c r="A14" s="144" t="s">
        <v>193</v>
      </c>
      <c r="B14" s="149" t="s">
        <v>194</v>
      </c>
      <c r="C14" s="150">
        <f>SUM(C6:C13)</f>
        <v>0.36800000000000005</v>
      </c>
      <c r="D14" s="147"/>
      <c r="F14" s="142"/>
      <c r="G14" s="142"/>
      <c r="H14" s="142"/>
      <c r="I14" s="142"/>
      <c r="J14" s="142"/>
      <c r="K14" s="142"/>
      <c r="L14" s="142"/>
    </row>
    <row r="15" spans="1:12" ht="15" x14ac:dyDescent="0.2">
      <c r="A15" s="151"/>
      <c r="B15" s="152"/>
      <c r="C15" s="153"/>
      <c r="D15" s="147"/>
      <c r="F15" s="142"/>
      <c r="G15" s="142"/>
      <c r="H15" s="142"/>
      <c r="I15" s="142"/>
      <c r="J15" s="142"/>
      <c r="K15" s="142"/>
      <c r="L15" s="142"/>
    </row>
    <row r="16" spans="1:12" ht="14.25" x14ac:dyDescent="0.2">
      <c r="A16" s="144" t="s">
        <v>195</v>
      </c>
      <c r="B16" s="145" t="s">
        <v>196</v>
      </c>
      <c r="C16" s="148">
        <f>ROUND(IF('3.CAGED'!C39&gt;24,(1-12/'3.CAGED'!C39)*0.1111,0.1111-C25),4)</f>
        <v>6.5699999999999995E-2</v>
      </c>
      <c r="D16" s="147"/>
      <c r="F16" s="142"/>
      <c r="G16" s="142"/>
      <c r="H16" s="142"/>
      <c r="I16" s="142"/>
      <c r="J16" s="142"/>
      <c r="K16" s="142"/>
      <c r="L16" s="142"/>
    </row>
    <row r="17" spans="1:12" ht="14.25" x14ac:dyDescent="0.2">
      <c r="A17" s="144" t="s">
        <v>197</v>
      </c>
      <c r="B17" s="145" t="s">
        <v>198</v>
      </c>
      <c r="C17" s="148">
        <f>ROUND('3.CAGED'!C33/'3.CAGED'!C30,4)</f>
        <v>8.3299999999999999E-2</v>
      </c>
      <c r="D17" s="147"/>
      <c r="F17" s="142"/>
      <c r="G17" s="142"/>
      <c r="H17" s="142"/>
      <c r="I17" s="142"/>
      <c r="J17" s="142"/>
      <c r="K17" s="142"/>
      <c r="L17" s="142"/>
    </row>
    <row r="18" spans="1:12" ht="14.25" x14ac:dyDescent="0.2">
      <c r="A18" s="144" t="s">
        <v>199</v>
      </c>
      <c r="B18" s="145" t="s">
        <v>200</v>
      </c>
      <c r="C18" s="148">
        <v>5.9999999999999995E-4</v>
      </c>
      <c r="D18" s="147"/>
      <c r="F18" s="142"/>
      <c r="G18" s="142"/>
      <c r="H18" s="142"/>
      <c r="I18" s="142"/>
      <c r="J18" s="142"/>
      <c r="K18" s="142"/>
      <c r="L18" s="142"/>
    </row>
    <row r="19" spans="1:12" ht="14.25" x14ac:dyDescent="0.2">
      <c r="A19" s="144" t="s">
        <v>201</v>
      </c>
      <c r="B19" s="145" t="s">
        <v>202</v>
      </c>
      <c r="C19" s="148">
        <v>8.2000000000000007E-3</v>
      </c>
      <c r="D19" s="147"/>
      <c r="F19" s="142"/>
      <c r="G19" s="142"/>
      <c r="H19" s="142"/>
      <c r="I19" s="142"/>
      <c r="J19" s="142"/>
      <c r="K19" s="142"/>
      <c r="L19" s="142"/>
    </row>
    <row r="20" spans="1:12" ht="14.25" x14ac:dyDescent="0.2">
      <c r="A20" s="144" t="s">
        <v>203</v>
      </c>
      <c r="B20" s="145" t="s">
        <v>204</v>
      </c>
      <c r="C20" s="148">
        <v>3.0999999999999999E-3</v>
      </c>
      <c r="D20" s="147"/>
      <c r="F20" s="142"/>
      <c r="G20" s="142"/>
      <c r="H20" s="142"/>
      <c r="I20" s="142"/>
      <c r="J20" s="142"/>
      <c r="K20" s="142"/>
      <c r="L20" s="142"/>
    </row>
    <row r="21" spans="1:12" ht="14.25" x14ac:dyDescent="0.2">
      <c r="A21" s="144" t="s">
        <v>205</v>
      </c>
      <c r="B21" s="145" t="s">
        <v>206</v>
      </c>
      <c r="C21" s="148">
        <v>1.66E-2</v>
      </c>
      <c r="D21" s="147"/>
      <c r="F21" s="142"/>
      <c r="G21" s="142"/>
      <c r="H21" s="142"/>
      <c r="I21" s="142"/>
      <c r="J21" s="142"/>
      <c r="K21" s="142"/>
      <c r="L21" s="142"/>
    </row>
    <row r="22" spans="1:12" ht="15" x14ac:dyDescent="0.2">
      <c r="A22" s="144" t="s">
        <v>207</v>
      </c>
      <c r="B22" s="149" t="s">
        <v>208</v>
      </c>
      <c r="C22" s="150">
        <f>SUM(C16:C21)</f>
        <v>0.17749999999999999</v>
      </c>
      <c r="D22" s="154"/>
      <c r="F22" s="142"/>
      <c r="G22" s="142"/>
      <c r="H22" s="142"/>
      <c r="I22" s="142"/>
      <c r="J22" s="142"/>
      <c r="K22" s="142"/>
      <c r="L22" s="142"/>
    </row>
    <row r="23" spans="1:12" ht="15" x14ac:dyDescent="0.2">
      <c r="A23" s="151"/>
      <c r="B23" s="152"/>
      <c r="C23" s="153"/>
      <c r="D23" s="154"/>
      <c r="F23" s="142"/>
      <c r="G23" s="142"/>
      <c r="H23" s="142"/>
      <c r="I23" s="142"/>
      <c r="J23" s="142"/>
      <c r="K23" s="142"/>
      <c r="L23" s="142"/>
    </row>
    <row r="24" spans="1:12" ht="14.25" x14ac:dyDescent="0.2">
      <c r="A24" s="144" t="s">
        <v>209</v>
      </c>
      <c r="B24" s="145" t="s">
        <v>210</v>
      </c>
      <c r="C24" s="148">
        <f>ROUND(('3.CAGED'!C38) *'3.CAGED'!C29/'3.CAGED'!C30,4)</f>
        <v>2.3599999999999999E-2</v>
      </c>
      <c r="D24" s="147"/>
      <c r="E24" s="155"/>
      <c r="F24" s="142"/>
      <c r="G24" s="142"/>
      <c r="H24" s="142"/>
      <c r="I24" s="142"/>
      <c r="J24" s="142"/>
      <c r="K24" s="142"/>
      <c r="L24" s="142"/>
    </row>
    <row r="25" spans="1:12" ht="14.25" x14ac:dyDescent="0.2">
      <c r="A25" s="144" t="s">
        <v>211</v>
      </c>
      <c r="B25" s="145" t="s">
        <v>212</v>
      </c>
      <c r="C25" s="148">
        <f>ROUND(IF('3.CAGED'!C39&gt;12,12/'3.CAGED'!C39*0.1111,0.1111),4)</f>
        <v>4.5400000000000003E-2</v>
      </c>
      <c r="D25" s="147"/>
      <c r="F25" s="142"/>
      <c r="G25" s="142"/>
      <c r="H25" s="156"/>
      <c r="I25" s="142"/>
      <c r="J25" s="142"/>
      <c r="K25" s="142"/>
      <c r="L25" s="142"/>
    </row>
    <row r="26" spans="1:12" ht="14.25" x14ac:dyDescent="0.2">
      <c r="A26" s="144" t="s">
        <v>213</v>
      </c>
      <c r="B26" s="145" t="s">
        <v>214</v>
      </c>
      <c r="C26" s="148">
        <f>ROUND(('3.CAGED'!C32+'3.CAGED'!C31)/360*C24,4)</f>
        <v>2.5999999999999999E-3</v>
      </c>
      <c r="D26" s="147"/>
      <c r="F26" s="142"/>
      <c r="G26" s="142"/>
      <c r="H26" s="142"/>
      <c r="I26" s="142"/>
      <c r="J26" s="142"/>
      <c r="K26" s="142"/>
      <c r="L26" s="142"/>
    </row>
    <row r="27" spans="1:12" ht="14.25" x14ac:dyDescent="0.2">
      <c r="A27" s="144" t="s">
        <v>215</v>
      </c>
      <c r="B27" s="145" t="s">
        <v>216</v>
      </c>
      <c r="C27" s="148">
        <f>ROUND(('3.CAGED'!C30+'3.CAGED'!C31+'3.CAGED'!C33)/'3.CAGED'!C28*'3.CAGED'!C35*'3.CAGED'!C36*'3.CAGED'!C29/'3.CAGED'!C30,4)</f>
        <v>2.5600000000000001E-2</v>
      </c>
      <c r="D27" s="147"/>
      <c r="F27" s="142"/>
      <c r="G27" s="157"/>
      <c r="H27" s="142"/>
      <c r="I27" s="142"/>
      <c r="J27" s="142"/>
      <c r="K27" s="142"/>
      <c r="L27" s="142"/>
    </row>
    <row r="28" spans="1:12" ht="14.25" x14ac:dyDescent="0.2">
      <c r="A28" s="144" t="s">
        <v>217</v>
      </c>
      <c r="B28" s="145" t="s">
        <v>218</v>
      </c>
      <c r="C28" s="148">
        <f>ROUND(('3.CAGED'!C32/'3.CAGED'!C30)*'3.CAGED'!C29/12,4)</f>
        <v>1.6000000000000001E-3</v>
      </c>
      <c r="D28" s="147"/>
      <c r="F28" s="142"/>
      <c r="G28" s="142"/>
      <c r="H28" s="142"/>
      <c r="I28" s="142"/>
      <c r="J28" s="142"/>
      <c r="K28" s="142"/>
      <c r="L28" s="142"/>
    </row>
    <row r="29" spans="1:12" ht="15" x14ac:dyDescent="0.2">
      <c r="A29" s="144" t="s">
        <v>219</v>
      </c>
      <c r="B29" s="149" t="s">
        <v>220</v>
      </c>
      <c r="C29" s="150">
        <f>SUM(C24:C28)</f>
        <v>9.8800000000000013E-2</v>
      </c>
      <c r="D29" s="154"/>
      <c r="F29" s="142"/>
      <c r="G29" s="142"/>
      <c r="H29" s="142"/>
      <c r="I29" s="142"/>
      <c r="J29" s="142"/>
      <c r="K29" s="142"/>
      <c r="L29" s="142"/>
    </row>
    <row r="30" spans="1:12" ht="15" x14ac:dyDescent="0.2">
      <c r="A30" s="151"/>
      <c r="B30" s="152"/>
      <c r="C30" s="153"/>
      <c r="D30" s="154"/>
      <c r="F30" s="142"/>
      <c r="G30" s="142"/>
      <c r="H30" s="142"/>
      <c r="I30" s="142"/>
      <c r="J30" s="142"/>
      <c r="K30" s="142"/>
      <c r="L30" s="142"/>
    </row>
    <row r="31" spans="1:12" ht="14.25" x14ac:dyDescent="0.2">
      <c r="A31" s="144" t="s">
        <v>221</v>
      </c>
      <c r="B31" s="145" t="s">
        <v>222</v>
      </c>
      <c r="C31" s="148">
        <f>ROUND(C14*C22,4)</f>
        <v>6.5299999999999997E-2</v>
      </c>
      <c r="D31" s="147"/>
      <c r="F31" s="142"/>
      <c r="G31" s="142"/>
      <c r="H31" s="142"/>
      <c r="I31" s="142"/>
      <c r="J31" s="142"/>
      <c r="K31" s="142"/>
      <c r="L31" s="142"/>
    </row>
    <row r="32" spans="1:12" ht="28.5" x14ac:dyDescent="0.2">
      <c r="A32" s="144" t="s">
        <v>223</v>
      </c>
      <c r="B32" s="158" t="s">
        <v>224</v>
      </c>
      <c r="C32" s="148">
        <f>ROUND((C24*C13),4)</f>
        <v>1.9E-3</v>
      </c>
      <c r="D32" s="147"/>
      <c r="F32" s="142"/>
      <c r="G32" s="142"/>
      <c r="H32" s="142"/>
      <c r="I32" s="142"/>
      <c r="J32" s="142"/>
      <c r="K32" s="142"/>
      <c r="L32" s="142"/>
    </row>
    <row r="33" spans="1:12" ht="15" x14ac:dyDescent="0.2">
      <c r="A33" s="144" t="s">
        <v>225</v>
      </c>
      <c r="B33" s="149" t="s">
        <v>226</v>
      </c>
      <c r="C33" s="150">
        <f>SUM(C31:C32)</f>
        <v>6.7199999999999996E-2</v>
      </c>
      <c r="D33" s="154"/>
      <c r="F33" s="142"/>
      <c r="G33" s="142"/>
      <c r="H33" s="142"/>
      <c r="I33" s="142"/>
      <c r="J33" s="142"/>
      <c r="K33" s="142"/>
      <c r="L33" s="142"/>
    </row>
    <row r="34" spans="1:12" ht="15" x14ac:dyDescent="0.2">
      <c r="A34" s="159"/>
      <c r="B34" s="160" t="s">
        <v>227</v>
      </c>
      <c r="C34" s="161">
        <f>C33+C29+C22+C14</f>
        <v>0.71150000000000002</v>
      </c>
      <c r="D34" s="154"/>
      <c r="F34" s="142"/>
      <c r="G34" s="142"/>
      <c r="H34" s="142"/>
      <c r="I34" s="142"/>
      <c r="J34" s="142"/>
      <c r="K34" s="142"/>
      <c r="L34" s="142"/>
    </row>
    <row r="35" spans="1:12" ht="15" x14ac:dyDescent="0.2">
      <c r="A35" s="147"/>
      <c r="B35" s="162"/>
      <c r="C35" s="163"/>
      <c r="D35" s="164"/>
      <c r="F35" s="142"/>
      <c r="G35" s="142"/>
      <c r="H35" s="142"/>
      <c r="I35" s="142"/>
      <c r="J35" s="142"/>
      <c r="K35" s="142"/>
      <c r="L35" s="142"/>
    </row>
    <row r="36" spans="1:12" ht="14.25" x14ac:dyDescent="0.2">
      <c r="A36" s="147"/>
      <c r="B36" s="147"/>
      <c r="C36" s="165"/>
      <c r="D36" s="166"/>
      <c r="F36" s="142"/>
      <c r="G36" s="142"/>
      <c r="H36" s="142"/>
      <c r="I36" s="142"/>
      <c r="J36" s="142"/>
      <c r="K36" s="142"/>
      <c r="L36" s="142"/>
    </row>
    <row r="37" spans="1:12" ht="14.25" x14ac:dyDescent="0.2">
      <c r="A37" s="147"/>
      <c r="B37" s="147"/>
      <c r="C37" s="165"/>
      <c r="D37" s="147"/>
      <c r="F37" s="142"/>
      <c r="G37" s="142"/>
      <c r="H37" s="142"/>
      <c r="I37" s="142"/>
      <c r="J37" s="142"/>
      <c r="K37" s="142"/>
      <c r="L37" s="142"/>
    </row>
    <row r="38" spans="1:12" ht="14.25" x14ac:dyDescent="0.2">
      <c r="A38" s="147"/>
      <c r="B38" s="147"/>
      <c r="C38" s="165"/>
      <c r="D38" s="147"/>
      <c r="F38" s="142"/>
      <c r="G38" s="142"/>
      <c r="H38" s="142"/>
      <c r="I38" s="142"/>
      <c r="J38" s="142"/>
      <c r="K38" s="142"/>
      <c r="L38" s="142"/>
    </row>
    <row r="39" spans="1:12" ht="14.25" x14ac:dyDescent="0.2">
      <c r="A39" s="147"/>
      <c r="B39" s="147"/>
      <c r="C39" s="165"/>
      <c r="D39" s="147"/>
      <c r="F39" s="142"/>
      <c r="G39" s="142"/>
      <c r="H39" s="142"/>
      <c r="I39" s="142"/>
      <c r="J39" s="142"/>
      <c r="K39" s="142"/>
      <c r="L39" s="142"/>
    </row>
    <row r="40" spans="1:12" ht="15" x14ac:dyDescent="0.2">
      <c r="A40" s="147"/>
      <c r="B40" s="162"/>
      <c r="C40" s="163"/>
      <c r="D40" s="147"/>
      <c r="F40" s="142"/>
      <c r="G40" s="142"/>
      <c r="H40" s="142"/>
      <c r="I40" s="142"/>
      <c r="J40" s="142"/>
      <c r="K40" s="142"/>
      <c r="L40" s="142"/>
    </row>
    <row r="41" spans="1:12" ht="15" x14ac:dyDescent="0.2">
      <c r="A41" s="154"/>
      <c r="B41" s="162"/>
      <c r="C41" s="163"/>
      <c r="D41" s="154"/>
      <c r="E41" s="142"/>
      <c r="F41" s="142"/>
      <c r="G41" s="142"/>
      <c r="H41" s="142"/>
      <c r="I41" s="142"/>
      <c r="J41" s="142"/>
      <c r="K41" s="142"/>
      <c r="L41" s="142"/>
    </row>
    <row r="42" spans="1:12" ht="16.5" x14ac:dyDescent="0.2">
      <c r="A42" s="167"/>
      <c r="B42" s="142"/>
      <c r="C42" s="142"/>
      <c r="E42" s="142"/>
      <c r="F42" s="142"/>
      <c r="G42" s="142"/>
      <c r="H42" s="142"/>
      <c r="I42" s="142"/>
      <c r="J42" s="142"/>
      <c r="K42" s="142"/>
      <c r="L42" s="142"/>
    </row>
    <row r="43" spans="1:12" x14ac:dyDescent="0.2">
      <c r="A43" s="168"/>
      <c r="B43" s="169"/>
      <c r="C43" s="169"/>
      <c r="E43" s="142"/>
      <c r="F43" s="142"/>
      <c r="G43" s="142"/>
      <c r="H43" s="142"/>
      <c r="I43" s="142"/>
      <c r="J43" s="142"/>
      <c r="K43" s="142"/>
      <c r="L43" s="142"/>
    </row>
    <row r="44" spans="1:12" ht="14.25" x14ac:dyDescent="0.2">
      <c r="A44" s="147"/>
      <c r="B44" s="170"/>
      <c r="C44" s="169"/>
      <c r="E44" s="142"/>
      <c r="F44" s="142"/>
      <c r="G44" s="142"/>
      <c r="H44" s="142"/>
      <c r="I44" s="142"/>
      <c r="J44" s="142"/>
      <c r="K44" s="142"/>
      <c r="L44" s="142"/>
    </row>
    <row r="45" spans="1:12" ht="14.25" x14ac:dyDescent="0.2">
      <c r="A45" s="147"/>
      <c r="B45" s="170"/>
      <c r="C45" s="147"/>
      <c r="E45" s="142"/>
      <c r="F45" s="142"/>
      <c r="G45" s="142"/>
      <c r="H45" s="142"/>
      <c r="I45" s="142"/>
      <c r="J45" s="142"/>
      <c r="K45" s="142"/>
      <c r="L45" s="142"/>
    </row>
    <row r="46" spans="1:12" ht="14.25" x14ac:dyDescent="0.2">
      <c r="A46" s="147"/>
      <c r="B46" s="165"/>
      <c r="C46" s="169"/>
      <c r="E46" s="142"/>
      <c r="F46" s="142"/>
      <c r="G46" s="142"/>
      <c r="H46" s="142"/>
      <c r="I46" s="142"/>
      <c r="J46" s="142"/>
      <c r="K46" s="142"/>
      <c r="L46" s="142"/>
    </row>
    <row r="47" spans="1:12" ht="14.25" x14ac:dyDescent="0.2">
      <c r="A47" s="147"/>
      <c r="B47" s="170"/>
      <c r="C47" s="147"/>
      <c r="E47" s="142"/>
      <c r="F47" s="142"/>
      <c r="G47" s="142"/>
      <c r="H47" s="142"/>
      <c r="I47" s="142"/>
      <c r="J47" s="142"/>
      <c r="K47" s="142"/>
      <c r="L47" s="142"/>
    </row>
    <row r="48" spans="1:12" ht="14.25" x14ac:dyDescent="0.2">
      <c r="A48" s="147"/>
      <c r="B48" s="165"/>
      <c r="C48" s="169"/>
      <c r="E48" s="142"/>
      <c r="F48" s="142"/>
      <c r="G48" s="142"/>
      <c r="H48" s="142"/>
      <c r="I48" s="142"/>
      <c r="J48" s="142"/>
      <c r="K48" s="142"/>
      <c r="L48" s="142"/>
    </row>
    <row r="49" spans="1:12" ht="14.25" x14ac:dyDescent="0.2">
      <c r="A49" s="147"/>
      <c r="B49" s="170"/>
      <c r="C49" s="147"/>
      <c r="E49" s="142"/>
      <c r="F49" s="142"/>
      <c r="G49" s="142"/>
      <c r="H49" s="142"/>
      <c r="I49" s="142"/>
      <c r="J49" s="142"/>
      <c r="K49" s="142"/>
      <c r="L49" s="142"/>
    </row>
    <row r="50" spans="1:12" ht="14.25" x14ac:dyDescent="0.2">
      <c r="A50" s="147"/>
      <c r="B50" s="165"/>
      <c r="C50" s="169"/>
      <c r="E50" s="142"/>
      <c r="F50" s="142"/>
      <c r="G50" s="142"/>
      <c r="H50" s="142"/>
      <c r="I50" s="142"/>
      <c r="J50" s="142"/>
      <c r="K50" s="142"/>
      <c r="L50" s="142"/>
    </row>
    <row r="51" spans="1:12" ht="14.25" x14ac:dyDescent="0.2">
      <c r="A51" s="147"/>
      <c r="B51" s="170"/>
      <c r="C51" s="147"/>
      <c r="E51" s="142"/>
      <c r="F51" s="142"/>
      <c r="G51" s="142"/>
      <c r="H51" s="142"/>
      <c r="I51" s="142"/>
      <c r="J51" s="142"/>
      <c r="K51" s="142"/>
      <c r="L51" s="142"/>
    </row>
    <row r="52" spans="1:12" ht="14.25" x14ac:dyDescent="0.2">
      <c r="A52" s="147"/>
      <c r="B52" s="165"/>
      <c r="C52" s="169"/>
      <c r="E52" s="142"/>
      <c r="F52" s="142"/>
      <c r="G52" s="142"/>
      <c r="H52" s="142"/>
      <c r="I52" s="142"/>
      <c r="J52" s="142"/>
      <c r="K52" s="142"/>
      <c r="L52" s="142"/>
    </row>
    <row r="53" spans="1:12" ht="16.5" x14ac:dyDescent="0.2">
      <c r="A53" s="167"/>
      <c r="B53" s="142"/>
      <c r="C53" s="142"/>
      <c r="E53" s="142"/>
      <c r="F53" s="142"/>
      <c r="G53" s="142"/>
      <c r="H53" s="142"/>
      <c r="I53" s="142"/>
      <c r="J53" s="142"/>
      <c r="K53" s="142"/>
      <c r="L53" s="142"/>
    </row>
    <row r="54" spans="1:12" x14ac:dyDescent="0.2">
      <c r="A54" s="142"/>
      <c r="B54" s="142"/>
      <c r="C54" s="142"/>
      <c r="E54" s="142"/>
      <c r="F54" s="142"/>
      <c r="G54" s="142"/>
      <c r="H54" s="142"/>
      <c r="I54" s="142"/>
      <c r="J54" s="142"/>
      <c r="K54" s="142"/>
      <c r="L54" s="142"/>
    </row>
    <row r="55" spans="1:12" x14ac:dyDescent="0.2">
      <c r="A55" s="142"/>
      <c r="B55" s="142"/>
      <c r="C55" s="142"/>
      <c r="E55" s="142"/>
      <c r="F55" s="142"/>
      <c r="G55" s="142"/>
      <c r="H55" s="142"/>
      <c r="I55" s="142"/>
      <c r="J55" s="142"/>
      <c r="K55" s="142"/>
      <c r="L55" s="142"/>
    </row>
    <row r="56" spans="1:12" x14ac:dyDescent="0.2">
      <c r="A56" s="171"/>
      <c r="B56" s="142"/>
      <c r="C56" s="142"/>
      <c r="E56" s="142"/>
      <c r="F56" s="142"/>
      <c r="G56" s="142"/>
      <c r="H56" s="142"/>
      <c r="I56" s="142"/>
      <c r="J56" s="142"/>
      <c r="K56" s="142"/>
      <c r="L56" s="142"/>
    </row>
    <row r="57" spans="1:12" x14ac:dyDescent="0.2">
      <c r="A57" s="142"/>
      <c r="B57" s="142"/>
      <c r="C57" s="142"/>
      <c r="E57" s="142"/>
    </row>
    <row r="58" spans="1:12" x14ac:dyDescent="0.2">
      <c r="A58" s="142"/>
      <c r="B58" s="142"/>
      <c r="C58" s="142"/>
      <c r="E58" s="142"/>
    </row>
    <row r="59" spans="1:12" x14ac:dyDescent="0.2">
      <c r="A59" s="142"/>
      <c r="B59" s="142"/>
      <c r="C59" s="142"/>
      <c r="E59" s="142"/>
    </row>
    <row r="60" spans="1:12" x14ac:dyDescent="0.2">
      <c r="A60" s="142"/>
      <c r="B60" s="142"/>
      <c r="C60" s="142"/>
      <c r="E60" s="142"/>
    </row>
    <row r="61" spans="1:12" x14ac:dyDescent="0.2">
      <c r="A61" s="142"/>
      <c r="B61" s="142"/>
      <c r="C61" s="142"/>
      <c r="E61" s="142"/>
    </row>
    <row r="62" spans="1:12" x14ac:dyDescent="0.2">
      <c r="A62" s="142"/>
      <c r="B62" s="142"/>
      <c r="C62" s="142"/>
      <c r="E62" s="142"/>
    </row>
    <row r="63" spans="1:12" x14ac:dyDescent="0.2">
      <c r="A63" s="142"/>
      <c r="B63" s="142"/>
      <c r="C63" s="142"/>
      <c r="E63" s="142"/>
    </row>
    <row r="64" spans="1:12" x14ac:dyDescent="0.2">
      <c r="A64" s="142"/>
      <c r="B64" s="142"/>
      <c r="C64" s="142"/>
      <c r="E64" s="142"/>
    </row>
    <row r="65" spans="1:5" x14ac:dyDescent="0.2">
      <c r="A65" s="142"/>
      <c r="B65" s="142"/>
      <c r="C65" s="142"/>
      <c r="E65" s="142"/>
    </row>
  </sheetData>
  <sheetProtection password="8497" sheet="1" formatCells="0" formatColumns="0" formatRows="0" insertColumns="0" insertRows="0" insertHyperlinks="0" deleteColumns="0" deleteRows="0" sort="0" autoFilter="0" pivotTables="0"/>
  <mergeCells count="1">
    <mergeCell ref="A4:C4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1"/>
  <sheetViews>
    <sheetView view="pageBreakPreview" topLeftCell="A13" zoomScaleNormal="100" workbookViewId="0">
      <selection activeCell="C13" sqref="C13:C14"/>
    </sheetView>
  </sheetViews>
  <sheetFormatPr defaultRowHeight="12.75" x14ac:dyDescent="0.2"/>
  <cols>
    <col min="1" max="1" width="8.5703125" style="108" customWidth="1"/>
    <col min="2" max="2" width="67.140625" style="108" customWidth="1"/>
    <col min="3" max="3" width="13.7109375" style="108" customWidth="1"/>
    <col min="4" max="4" width="10.28515625" style="108" hidden="1" customWidth="1"/>
    <col min="5" max="5" width="13.7109375" style="108" hidden="1" customWidth="1"/>
    <col min="6" max="6" width="14.42578125" style="108" hidden="1" customWidth="1"/>
    <col min="7" max="7" width="12.7109375" style="108" hidden="1" customWidth="1"/>
    <col min="8" max="8" width="4.42578125" style="108" hidden="1" customWidth="1"/>
    <col min="9" max="9" width="6.85546875" style="108" hidden="1" customWidth="1"/>
    <col min="10" max="10" width="3.28515625" style="108" hidden="1" customWidth="1"/>
    <col min="11" max="11" width="11.5703125" style="108" hidden="1"/>
    <col min="12" max="1025" width="9.140625" style="108" customWidth="1"/>
  </cols>
  <sheetData>
    <row r="1" spans="1:3" x14ac:dyDescent="0.2">
      <c r="A1" s="172" t="s">
        <v>228</v>
      </c>
    </row>
    <row r="3" spans="1:3" x14ac:dyDescent="0.2">
      <c r="A3" s="108" t="s">
        <v>229</v>
      </c>
    </row>
    <row r="4" spans="1:3" x14ac:dyDescent="0.2">
      <c r="A4" s="108" t="s">
        <v>230</v>
      </c>
    </row>
    <row r="5" spans="1:3" ht="25.5" customHeight="1" x14ac:dyDescent="0.2">
      <c r="A5" s="296" t="s">
        <v>231</v>
      </c>
      <c r="B5" s="296"/>
      <c r="C5" s="296"/>
    </row>
    <row r="6" spans="1:3" x14ac:dyDescent="0.2">
      <c r="A6" s="108" t="s">
        <v>232</v>
      </c>
    </row>
    <row r="7" spans="1:3" ht="26.25" customHeight="1" x14ac:dyDescent="0.2">
      <c r="A7" s="296" t="s">
        <v>233</v>
      </c>
      <c r="B7" s="296"/>
      <c r="C7" s="296"/>
    </row>
    <row r="8" spans="1:3" x14ac:dyDescent="0.2">
      <c r="A8" s="108" t="s">
        <v>234</v>
      </c>
    </row>
    <row r="9" spans="1:3" x14ac:dyDescent="0.2">
      <c r="A9" s="108" t="s">
        <v>235</v>
      </c>
    </row>
    <row r="11" spans="1:3" ht="18" x14ac:dyDescent="0.25">
      <c r="B11" s="297" t="s">
        <v>236</v>
      </c>
      <c r="C11" s="297"/>
    </row>
    <row r="12" spans="1:3" ht="15" x14ac:dyDescent="0.25">
      <c r="A12" s="142"/>
      <c r="B12" s="173" t="s">
        <v>237</v>
      </c>
      <c r="C12" s="174"/>
    </row>
    <row r="13" spans="1:3" ht="15" x14ac:dyDescent="0.25">
      <c r="A13" s="142"/>
      <c r="B13" s="175" t="s">
        <v>238</v>
      </c>
      <c r="C13" s="176">
        <v>2100</v>
      </c>
    </row>
    <row r="14" spans="1:3" ht="15" x14ac:dyDescent="0.25">
      <c r="A14" s="142"/>
      <c r="B14" s="177" t="s">
        <v>239</v>
      </c>
      <c r="C14" s="176">
        <v>2031</v>
      </c>
    </row>
    <row r="15" spans="1:3" ht="14.25" x14ac:dyDescent="0.2">
      <c r="A15" s="142"/>
      <c r="B15" s="178" t="s">
        <v>240</v>
      </c>
      <c r="C15" s="179">
        <v>44</v>
      </c>
    </row>
    <row r="16" spans="1:3" ht="14.25" x14ac:dyDescent="0.2">
      <c r="A16" s="142"/>
      <c r="B16" s="178" t="s">
        <v>241</v>
      </c>
      <c r="C16" s="179">
        <v>1192</v>
      </c>
    </row>
    <row r="17" spans="1:7" ht="14.25" x14ac:dyDescent="0.2">
      <c r="A17" s="142"/>
      <c r="B17" s="178" t="s">
        <v>242</v>
      </c>
      <c r="C17" s="179">
        <v>372</v>
      </c>
    </row>
    <row r="18" spans="1:7" ht="14.25" x14ac:dyDescent="0.2">
      <c r="A18" s="142"/>
      <c r="B18" s="178" t="s">
        <v>243</v>
      </c>
      <c r="C18" s="179">
        <v>22</v>
      </c>
    </row>
    <row r="19" spans="1:7" ht="14.25" x14ac:dyDescent="0.2">
      <c r="A19" s="142"/>
      <c r="B19" s="178" t="s">
        <v>244</v>
      </c>
      <c r="C19" s="179">
        <v>350</v>
      </c>
    </row>
    <row r="20" spans="1:7" ht="14.25" x14ac:dyDescent="0.2">
      <c r="A20" s="142"/>
      <c r="B20" s="178" t="s">
        <v>245</v>
      </c>
      <c r="C20" s="179">
        <v>1</v>
      </c>
    </row>
    <row r="21" spans="1:7" ht="14.25" x14ac:dyDescent="0.2">
      <c r="A21" s="142"/>
      <c r="B21" s="178" t="s">
        <v>246</v>
      </c>
      <c r="C21" s="179">
        <v>30</v>
      </c>
    </row>
    <row r="22" spans="1:7" ht="14.25" x14ac:dyDescent="0.2">
      <c r="A22" s="142"/>
      <c r="B22" s="180" t="s">
        <v>247</v>
      </c>
      <c r="C22" s="181">
        <v>0</v>
      </c>
    </row>
    <row r="23" spans="1:7" ht="15" x14ac:dyDescent="0.25">
      <c r="A23" s="142" t="s">
        <v>248</v>
      </c>
      <c r="B23" s="173" t="s">
        <v>249</v>
      </c>
      <c r="C23" s="174"/>
    </row>
    <row r="24" spans="1:7" ht="14.25" x14ac:dyDescent="0.2">
      <c r="A24" s="142"/>
      <c r="B24" s="182" t="s">
        <v>318</v>
      </c>
      <c r="C24" s="183">
        <v>5183</v>
      </c>
    </row>
    <row r="25" spans="1:7" ht="14.25" x14ac:dyDescent="0.2">
      <c r="A25" s="142"/>
      <c r="B25" s="178" t="s">
        <v>319</v>
      </c>
      <c r="C25" s="179">
        <v>4918</v>
      </c>
    </row>
    <row r="26" spans="1:7" ht="14.25" x14ac:dyDescent="0.2">
      <c r="B26" s="178" t="s">
        <v>320</v>
      </c>
      <c r="C26" s="179">
        <f>C13-C14</f>
        <v>69</v>
      </c>
    </row>
    <row r="27" spans="1:7" ht="14.25" x14ac:dyDescent="0.2">
      <c r="B27" s="184"/>
      <c r="C27" s="185"/>
    </row>
    <row r="28" spans="1:7" ht="15" x14ac:dyDescent="0.25">
      <c r="B28" s="186" t="s">
        <v>250</v>
      </c>
      <c r="C28" s="187">
        <f>MEDIAN(C13,C14)/MEDIAN(C24,C25)</f>
        <v>0.40896940896940898</v>
      </c>
      <c r="G28" s="108">
        <f>12/C28</f>
        <v>29.342047930283226</v>
      </c>
    </row>
    <row r="29" spans="1:7" ht="15" x14ac:dyDescent="0.25">
      <c r="B29" s="175" t="s">
        <v>251</v>
      </c>
      <c r="C29" s="187">
        <f>C16/MEDIAN(C24,C25)</f>
        <v>0.236016236016236</v>
      </c>
    </row>
    <row r="30" spans="1:7" ht="15" x14ac:dyDescent="0.25">
      <c r="B30" s="188" t="s">
        <v>252</v>
      </c>
      <c r="C30" s="189">
        <v>360</v>
      </c>
    </row>
    <row r="31" spans="1:7" ht="15" x14ac:dyDescent="0.25">
      <c r="B31" s="175" t="s">
        <v>253</v>
      </c>
      <c r="C31" s="189">
        <v>10</v>
      </c>
    </row>
    <row r="32" spans="1:7" ht="15" x14ac:dyDescent="0.25">
      <c r="B32" s="175" t="s">
        <v>254</v>
      </c>
      <c r="C32" s="189">
        <v>30</v>
      </c>
      <c r="G32" s="108">
        <f>TRUNC(G37)</f>
        <v>5</v>
      </c>
    </row>
    <row r="33" spans="2:11" ht="15" x14ac:dyDescent="0.25">
      <c r="B33" s="175" t="s">
        <v>255</v>
      </c>
      <c r="C33" s="189">
        <v>30</v>
      </c>
    </row>
    <row r="34" spans="2:11" s="172" customFormat="1" ht="15" x14ac:dyDescent="0.25">
      <c r="B34" s="175" t="s">
        <v>256</v>
      </c>
      <c r="C34" s="190">
        <f>MEDIAN(C24,C25)</f>
        <v>5050.5</v>
      </c>
    </row>
    <row r="35" spans="2:11" s="172" customFormat="1" ht="15" x14ac:dyDescent="0.25">
      <c r="B35" s="175" t="s">
        <v>192</v>
      </c>
      <c r="C35" s="191">
        <v>0.08</v>
      </c>
      <c r="K35" s="172">
        <f>IF(C39&gt;12,C39-12,C39)</f>
        <v>17.342047930283226</v>
      </c>
    </row>
    <row r="36" spans="2:11" s="172" customFormat="1" ht="15" x14ac:dyDescent="0.25">
      <c r="B36" s="175" t="s">
        <v>257</v>
      </c>
      <c r="C36" s="191">
        <v>0.5</v>
      </c>
      <c r="K36" s="172" t="e">
        <f>IF(#REF!&gt;12,#REF!-12,#REF!)</f>
        <v>#REF!</v>
      </c>
    </row>
    <row r="37" spans="2:11" s="172" customFormat="1" ht="15" x14ac:dyDescent="0.25">
      <c r="B37" s="175" t="s">
        <v>258</v>
      </c>
      <c r="C37" s="192">
        <f>((1/C28)-TRUNC(E37))</f>
        <v>0.44517066085693546</v>
      </c>
      <c r="D37" s="172">
        <f>TRUNC(E37)</f>
        <v>2</v>
      </c>
      <c r="E37" s="172">
        <f>1/C28</f>
        <v>2.4451706608569355</v>
      </c>
      <c r="F37" s="172">
        <f>((1/C28)-TRUNC(E37))</f>
        <v>0.44517066085693546</v>
      </c>
      <c r="G37" s="172">
        <f>12*F37</f>
        <v>5.3420479302832256</v>
      </c>
      <c r="K37" s="172" t="e">
        <f>IF(#REF!&gt;12,#REF!-12,#REF!)</f>
        <v>#REF!</v>
      </c>
    </row>
    <row r="38" spans="2:11" s="172" customFormat="1" ht="15" x14ac:dyDescent="0.25">
      <c r="B38" s="173" t="s">
        <v>259</v>
      </c>
      <c r="C38" s="193">
        <f>30+D38</f>
        <v>36</v>
      </c>
      <c r="D38" s="172">
        <f>3*D37</f>
        <v>6</v>
      </c>
      <c r="G38" s="172">
        <f>G37/12*40/360</f>
        <v>4.9463406761881719E-2</v>
      </c>
      <c r="K38" s="172" t="e">
        <f>IF(#REF!&gt;12,#REF!-12,#REF!)</f>
        <v>#REF!</v>
      </c>
    </row>
    <row r="39" spans="2:11" s="172" customFormat="1" ht="15" x14ac:dyDescent="0.25">
      <c r="B39" s="194" t="s">
        <v>260</v>
      </c>
      <c r="C39" s="195">
        <f>12/C28</f>
        <v>29.342047930283226</v>
      </c>
      <c r="K39" s="172" t="e">
        <f>IF(#REF!&gt;12,#REF!-12,#REF!)</f>
        <v>#REF!</v>
      </c>
    </row>
    <row r="40" spans="2:11" x14ac:dyDescent="0.2">
      <c r="K40" s="108" t="e">
        <f>IF(K39&gt;12,K39-12,K39)</f>
        <v>#REF!</v>
      </c>
    </row>
    <row r="41" spans="2:11" x14ac:dyDescent="0.2">
      <c r="K41" s="108" t="e">
        <f>IF(K40&gt;12,K40-12,K40)</f>
        <v>#REF!</v>
      </c>
    </row>
  </sheetData>
  <sheetProtection password="8497" sheet="1" formatCells="0" formatColumns="0" formatRows="0" insertColumns="0" insertRows="0" insertHyperlinks="0" deleteColumns="0" deleteRows="0" sort="0" autoFilter="0" pivotTables="0"/>
  <mergeCells count="3">
    <mergeCell ref="A5:C5"/>
    <mergeCell ref="A7:C7"/>
    <mergeCell ref="B11:C11"/>
  </mergeCells>
  <pageMargins left="0.9055118110236221" right="0.51181102362204722" top="0.74803149606299213" bottom="0.74803149606299213" header="0.51181102362204722" footer="0.51181102362204722"/>
  <pageSetup paperSize="9" scale="98" firstPageNumber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view="pageBreakPreview" topLeftCell="A3" zoomScaleNormal="100" workbookViewId="0">
      <selection activeCell="C15" sqref="C15"/>
    </sheetView>
  </sheetViews>
  <sheetFormatPr defaultRowHeight="12.75" x14ac:dyDescent="0.2"/>
  <cols>
    <col min="1" max="1" width="41.85546875" customWidth="1"/>
    <col min="2" max="2" width="5.5703125" customWidth="1"/>
    <col min="3" max="3" width="8.7109375" customWidth="1"/>
    <col min="4" max="4" width="9.7109375" customWidth="1"/>
    <col min="5" max="5" width="8" style="196" customWidth="1"/>
    <col min="6" max="6" width="9.7109375" customWidth="1"/>
    <col min="7" max="1025" width="8.7109375" customWidth="1"/>
  </cols>
  <sheetData>
    <row r="1" spans="1:8" s="197" customFormat="1" ht="14.25" x14ac:dyDescent="0.2">
      <c r="A1" s="3" t="s">
        <v>0</v>
      </c>
      <c r="B1" s="11"/>
      <c r="C1" s="11"/>
      <c r="E1" s="198"/>
    </row>
    <row r="2" spans="1:8" s="197" customFormat="1" ht="14.25" x14ac:dyDescent="0.2">
      <c r="A2" s="4" t="s">
        <v>261</v>
      </c>
      <c r="B2" s="11"/>
      <c r="C2" s="11"/>
      <c r="E2" s="198"/>
    </row>
    <row r="3" spans="1:8" s="197" customFormat="1" ht="14.25" x14ac:dyDescent="0.2">
      <c r="A3" s="1" t="s">
        <v>2</v>
      </c>
      <c r="B3" s="11"/>
      <c r="C3" s="11"/>
      <c r="E3" s="198"/>
    </row>
    <row r="4" spans="1:8" s="197" customFormat="1" ht="14.25" x14ac:dyDescent="0.2">
      <c r="A4" s="4"/>
      <c r="B4" s="11"/>
      <c r="C4" s="11"/>
      <c r="E4" s="198"/>
    </row>
    <row r="5" spans="1:8" s="197" customFormat="1" ht="14.25" x14ac:dyDescent="0.2">
      <c r="B5" s="11"/>
      <c r="C5" s="11"/>
      <c r="E5" s="198"/>
    </row>
    <row r="6" spans="1:8" ht="15.75" x14ac:dyDescent="0.2">
      <c r="A6" s="298" t="s">
        <v>262</v>
      </c>
      <c r="B6" s="298"/>
      <c r="C6" s="298"/>
      <c r="D6" s="298"/>
      <c r="E6" s="298"/>
      <c r="F6" s="298"/>
    </row>
    <row r="7" spans="1:8" ht="15.75" x14ac:dyDescent="0.2">
      <c r="A7" s="199"/>
      <c r="B7" s="200"/>
      <c r="C7" s="200"/>
      <c r="D7" s="200"/>
      <c r="E7" s="200"/>
      <c r="F7" s="201"/>
    </row>
    <row r="8" spans="1:8" ht="15" x14ac:dyDescent="0.25">
      <c r="A8" s="202"/>
      <c r="B8" s="203"/>
      <c r="C8" s="203"/>
      <c r="D8" s="299" t="s">
        <v>263</v>
      </c>
      <c r="E8" s="299"/>
      <c r="F8" s="299"/>
      <c r="G8" s="197"/>
      <c r="H8" s="197"/>
    </row>
    <row r="9" spans="1:8" ht="14.25" x14ac:dyDescent="0.2">
      <c r="A9" s="184"/>
      <c r="B9" s="204"/>
      <c r="C9" s="204"/>
      <c r="D9" s="205" t="s">
        <v>264</v>
      </c>
      <c r="E9" s="206" t="s">
        <v>265</v>
      </c>
      <c r="F9" s="207" t="s">
        <v>266</v>
      </c>
      <c r="G9" s="197"/>
      <c r="H9" s="197"/>
    </row>
    <row r="10" spans="1:8" ht="14.25" x14ac:dyDescent="0.2">
      <c r="A10" s="208" t="s">
        <v>267</v>
      </c>
      <c r="B10" s="209" t="s">
        <v>268</v>
      </c>
      <c r="C10" s="210">
        <v>0.04</v>
      </c>
      <c r="D10" s="211">
        <v>2.9700000000000001E-2</v>
      </c>
      <c r="E10" s="212">
        <v>5.0799999999999998E-2</v>
      </c>
      <c r="F10" s="213">
        <v>6.2700000000000006E-2</v>
      </c>
      <c r="G10" s="197"/>
      <c r="H10" s="197"/>
    </row>
    <row r="11" spans="1:8" ht="14.25" x14ac:dyDescent="0.2">
      <c r="A11" s="214" t="s">
        <v>269</v>
      </c>
      <c r="B11" s="215" t="s">
        <v>270</v>
      </c>
      <c r="C11" s="216">
        <v>1.3299999999999999E-2</v>
      </c>
      <c r="D11" s="211">
        <f>0.3%+0.56%</f>
        <v>8.6E-3</v>
      </c>
      <c r="E11" s="212">
        <f>0.48%+0.85%</f>
        <v>1.3299999999999999E-2</v>
      </c>
      <c r="F11" s="213">
        <f>0.82%+0.89%</f>
        <v>1.7099999999999997E-2</v>
      </c>
      <c r="G11" s="197"/>
      <c r="H11" s="197"/>
    </row>
    <row r="12" spans="1:8" ht="14.25" x14ac:dyDescent="0.2">
      <c r="A12" s="214" t="s">
        <v>271</v>
      </c>
      <c r="B12" s="215" t="s">
        <v>272</v>
      </c>
      <c r="C12" s="216">
        <v>0.08</v>
      </c>
      <c r="D12" s="211">
        <v>7.7799999999999994E-2</v>
      </c>
      <c r="E12" s="212">
        <v>0.1085</v>
      </c>
      <c r="F12" s="213">
        <v>0.13550000000000001</v>
      </c>
      <c r="G12" s="197"/>
      <c r="H12" s="197"/>
    </row>
    <row r="13" spans="1:8" ht="14.25" x14ac:dyDescent="0.2">
      <c r="A13" s="214" t="s">
        <v>273</v>
      </c>
      <c r="B13" s="215" t="s">
        <v>274</v>
      </c>
      <c r="C13" s="217">
        <f>(1+E13)^(E14/252)-1</f>
        <v>1.7508308944573781E-3</v>
      </c>
      <c r="D13" s="211" t="s">
        <v>275</v>
      </c>
      <c r="E13" s="218">
        <v>6.5000000000000002E-2</v>
      </c>
      <c r="F13" s="219"/>
      <c r="G13" s="197"/>
      <c r="H13" s="197"/>
    </row>
    <row r="14" spans="1:8" ht="14.25" x14ac:dyDescent="0.2">
      <c r="A14" s="214" t="s">
        <v>276</v>
      </c>
      <c r="B14" s="300" t="s">
        <v>277</v>
      </c>
      <c r="C14" s="216">
        <v>0.02</v>
      </c>
      <c r="D14" s="220" t="s">
        <v>278</v>
      </c>
      <c r="E14" s="221">
        <v>7</v>
      </c>
      <c r="F14" s="222"/>
      <c r="G14" s="197"/>
      <c r="H14" s="197"/>
    </row>
    <row r="15" spans="1:8" ht="14.25" x14ac:dyDescent="0.2">
      <c r="A15" s="223" t="s">
        <v>279</v>
      </c>
      <c r="B15" s="300"/>
      <c r="C15" s="224">
        <v>0.1118</v>
      </c>
      <c r="D15" s="178"/>
      <c r="E15" s="225"/>
      <c r="F15" s="222"/>
      <c r="G15" s="197"/>
      <c r="H15" s="197"/>
    </row>
    <row r="16" spans="1:8" ht="14.25" x14ac:dyDescent="0.2">
      <c r="A16" s="226" t="s">
        <v>280</v>
      </c>
      <c r="B16" s="227"/>
      <c r="C16" s="228"/>
      <c r="D16" s="178"/>
      <c r="E16" s="225"/>
      <c r="F16" s="222"/>
      <c r="G16" s="197"/>
      <c r="H16" s="197"/>
    </row>
    <row r="17" spans="1:8" ht="14.25" x14ac:dyDescent="0.2">
      <c r="A17" s="229" t="s">
        <v>281</v>
      </c>
      <c r="B17" s="230"/>
      <c r="C17" s="231"/>
      <c r="D17" s="178"/>
      <c r="E17" s="225"/>
      <c r="F17" s="222"/>
      <c r="G17" s="197"/>
      <c r="H17" s="197"/>
    </row>
    <row r="18" spans="1:8" ht="15" x14ac:dyDescent="0.2">
      <c r="A18" s="232" t="s">
        <v>282</v>
      </c>
      <c r="B18" s="233"/>
      <c r="C18" s="234">
        <f>ROUND((((1+C10+C11)*(1+C12)*(1+C13))/(1-(C14+C15))-1),4)</f>
        <v>0.3125</v>
      </c>
      <c r="D18" s="235">
        <v>0.21429999999999999</v>
      </c>
      <c r="E18" s="236">
        <v>0.2717</v>
      </c>
      <c r="F18" s="237">
        <v>0.3362</v>
      </c>
      <c r="G18" s="197"/>
      <c r="H18" s="197"/>
    </row>
    <row r="19" spans="1:8" ht="14.25" x14ac:dyDescent="0.2">
      <c r="A19" s="197"/>
      <c r="B19" s="197"/>
      <c r="C19" s="197"/>
      <c r="D19" s="197"/>
      <c r="E19" s="198"/>
      <c r="F19" s="197"/>
      <c r="G19" s="197"/>
      <c r="H19" s="197"/>
    </row>
    <row r="20" spans="1:8" ht="14.25" x14ac:dyDescent="0.2">
      <c r="A20" s="197"/>
      <c r="B20" s="197"/>
      <c r="C20" s="197"/>
      <c r="D20" s="197"/>
      <c r="E20" s="198"/>
      <c r="F20" s="197"/>
      <c r="G20" s="197"/>
      <c r="H20" s="197"/>
    </row>
    <row r="21" spans="1:8" ht="14.25" x14ac:dyDescent="0.2">
      <c r="A21" s="197"/>
      <c r="B21" s="197"/>
      <c r="C21" s="197"/>
      <c r="D21" s="197"/>
      <c r="E21" s="198"/>
      <c r="F21" s="197"/>
      <c r="G21" s="197"/>
      <c r="H21" s="197"/>
    </row>
    <row r="22" spans="1:8" ht="14.25" x14ac:dyDescent="0.2">
      <c r="A22" s="197"/>
      <c r="B22" s="197"/>
      <c r="C22" s="197"/>
      <c r="D22" s="197"/>
      <c r="E22" s="198"/>
      <c r="F22" s="197"/>
      <c r="G22" s="197"/>
      <c r="H22" s="197"/>
    </row>
  </sheetData>
  <sheetProtection password="8497" sheet="1" formatCells="0" formatColumns="0" formatRows="0" insertColumns="0" insertRows="0" insertHyperlinks="0" deleteColumns="0" deleteRows="0" sort="0" autoFilter="0" pivotTables="0"/>
  <mergeCells count="3">
    <mergeCell ref="A6:F6"/>
    <mergeCell ref="D8:F8"/>
    <mergeCell ref="B14:B15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17"/>
  <sheetViews>
    <sheetView view="pageBreakPreview" zoomScaleNormal="100" workbookViewId="0">
      <selection activeCell="B12" sqref="B12"/>
    </sheetView>
  </sheetViews>
  <sheetFormatPr defaultRowHeight="12.75" x14ac:dyDescent="0.2"/>
  <cols>
    <col min="1" max="1" width="24.5703125" style="108" customWidth="1"/>
    <col min="2" max="2" width="20.85546875" style="108" customWidth="1"/>
    <col min="3" max="1025" width="9.140625" style="108" customWidth="1"/>
  </cols>
  <sheetData>
    <row r="1" spans="1:2" ht="19.5" customHeight="1" x14ac:dyDescent="0.2">
      <c r="A1" s="301" t="s">
        <v>283</v>
      </c>
      <c r="B1" s="301"/>
    </row>
    <row r="2" spans="1:2" s="172" customFormat="1" ht="19.5" customHeight="1" x14ac:dyDescent="0.2">
      <c r="A2" s="238" t="s">
        <v>284</v>
      </c>
      <c r="B2" s="239" t="s">
        <v>285</v>
      </c>
    </row>
    <row r="3" spans="1:2" ht="19.5" customHeight="1" x14ac:dyDescent="0.2">
      <c r="A3" s="240">
        <v>1</v>
      </c>
      <c r="B3" s="241">
        <v>33.630000000000003</v>
      </c>
    </row>
    <row r="4" spans="1:2" ht="19.5" customHeight="1" x14ac:dyDescent="0.2">
      <c r="A4" s="240">
        <v>2</v>
      </c>
      <c r="B4" s="241">
        <v>43.13</v>
      </c>
    </row>
    <row r="5" spans="1:2" ht="19.5" customHeight="1" x14ac:dyDescent="0.2">
      <c r="A5" s="240">
        <v>3</v>
      </c>
      <c r="B5" s="241">
        <v>48.68</v>
      </c>
    </row>
    <row r="6" spans="1:2" ht="19.5" customHeight="1" x14ac:dyDescent="0.2">
      <c r="A6" s="240">
        <v>4</v>
      </c>
      <c r="B6" s="241">
        <v>52.62</v>
      </c>
    </row>
    <row r="7" spans="1:2" ht="19.5" customHeight="1" x14ac:dyDescent="0.2">
      <c r="A7" s="240">
        <v>5</v>
      </c>
      <c r="B7" s="241">
        <v>55.68</v>
      </c>
    </row>
    <row r="8" spans="1:2" ht="19.5" customHeight="1" x14ac:dyDescent="0.2">
      <c r="A8" s="240">
        <v>6</v>
      </c>
      <c r="B8" s="241">
        <v>58.18</v>
      </c>
    </row>
    <row r="9" spans="1:2" ht="19.5" customHeight="1" x14ac:dyDescent="0.2">
      <c r="A9" s="240">
        <v>7</v>
      </c>
      <c r="B9" s="241">
        <v>60.29</v>
      </c>
    </row>
    <row r="10" spans="1:2" ht="19.5" customHeight="1" x14ac:dyDescent="0.2">
      <c r="A10" s="240">
        <v>8</v>
      </c>
      <c r="B10" s="241">
        <v>62.12</v>
      </c>
    </row>
    <row r="11" spans="1:2" ht="19.5" customHeight="1" x14ac:dyDescent="0.2">
      <c r="A11" s="240">
        <v>9</v>
      </c>
      <c r="B11" s="241">
        <v>63.73</v>
      </c>
    </row>
    <row r="12" spans="1:2" ht="19.5" customHeight="1" x14ac:dyDescent="0.2">
      <c r="A12" s="240">
        <v>10</v>
      </c>
      <c r="B12" s="241">
        <v>65.180000000000007</v>
      </c>
    </row>
    <row r="13" spans="1:2" ht="19.5" customHeight="1" x14ac:dyDescent="0.2">
      <c r="A13" s="240">
        <v>11</v>
      </c>
      <c r="B13" s="241">
        <v>66.48</v>
      </c>
    </row>
    <row r="14" spans="1:2" ht="19.5" customHeight="1" x14ac:dyDescent="0.2">
      <c r="A14" s="240">
        <v>12</v>
      </c>
      <c r="B14" s="241">
        <v>67.67</v>
      </c>
    </row>
    <row r="15" spans="1:2" ht="19.5" customHeight="1" x14ac:dyDescent="0.2">
      <c r="A15" s="240">
        <v>13</v>
      </c>
      <c r="B15" s="241">
        <v>68.77</v>
      </c>
    </row>
    <row r="16" spans="1:2" ht="19.5" customHeight="1" x14ac:dyDescent="0.2">
      <c r="A16" s="240">
        <v>14</v>
      </c>
      <c r="B16" s="241">
        <v>69.790000000000006</v>
      </c>
    </row>
    <row r="17" spans="1:2" ht="19.5" customHeight="1" x14ac:dyDescent="0.2">
      <c r="A17" s="242">
        <v>15</v>
      </c>
      <c r="B17" s="243">
        <v>70.73</v>
      </c>
    </row>
  </sheetData>
  <sheetProtection password="8497" sheet="1" formatCells="0" formatColumns="0" formatRows="0" insertColumns="0" insertRows="0" insertHyperlinks="0" deleteColumns="0" deleteRows="0" sort="0" autoFilter="0" pivotTables="0"/>
  <mergeCells count="1">
    <mergeCell ref="A1:B1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5042-7B01-4BF8-B514-37C3B38ED68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7"/>
  <sheetViews>
    <sheetView view="pageBreakPreview" zoomScaleNormal="100" workbookViewId="0">
      <selection activeCell="A12" sqref="A12"/>
    </sheetView>
  </sheetViews>
  <sheetFormatPr defaultRowHeight="12.75" x14ac:dyDescent="0.2"/>
  <cols>
    <col min="1" max="1" width="70.42578125" style="108" customWidth="1"/>
    <col min="2" max="3" width="9.140625" style="108" customWidth="1"/>
    <col min="4" max="4" width="12.85546875" style="108" customWidth="1"/>
    <col min="5" max="1025" width="9.140625" style="108" customWidth="1"/>
  </cols>
  <sheetData>
    <row r="1" spans="1:1" ht="18" x14ac:dyDescent="0.25">
      <c r="A1" s="244" t="s">
        <v>286</v>
      </c>
    </row>
    <row r="2" spans="1:1" x14ac:dyDescent="0.2">
      <c r="A2" s="245"/>
    </row>
    <row r="3" spans="1:1" x14ac:dyDescent="0.2">
      <c r="A3" s="245" t="s">
        <v>287</v>
      </c>
    </row>
    <row r="4" spans="1:1" x14ac:dyDescent="0.2">
      <c r="A4" s="245"/>
    </row>
    <row r="5" spans="1:1" x14ac:dyDescent="0.2">
      <c r="A5" s="245"/>
    </row>
    <row r="6" spans="1:1" x14ac:dyDescent="0.2">
      <c r="A6" s="245"/>
    </row>
    <row r="7" spans="1:1" x14ac:dyDescent="0.2">
      <c r="A7" s="245"/>
    </row>
    <row r="8" spans="1:1" x14ac:dyDescent="0.2">
      <c r="A8" s="245"/>
    </row>
    <row r="9" spans="1:1" x14ac:dyDescent="0.2">
      <c r="A9" s="245"/>
    </row>
    <row r="10" spans="1:1" x14ac:dyDescent="0.2">
      <c r="A10" s="245"/>
    </row>
    <row r="11" spans="1:1" x14ac:dyDescent="0.2">
      <c r="A11" s="245"/>
    </row>
    <row r="12" spans="1:1" ht="19.5" x14ac:dyDescent="0.35">
      <c r="A12" s="246" t="s">
        <v>288</v>
      </c>
    </row>
    <row r="13" spans="1:1" ht="15" x14ac:dyDescent="0.2">
      <c r="A13" s="246" t="s">
        <v>289</v>
      </c>
    </row>
    <row r="14" spans="1:1" ht="15" x14ac:dyDescent="0.2">
      <c r="A14" s="246" t="s">
        <v>290</v>
      </c>
    </row>
    <row r="15" spans="1:1" ht="19.5" x14ac:dyDescent="0.35">
      <c r="A15" s="246" t="s">
        <v>291</v>
      </c>
    </row>
    <row r="16" spans="1:1" ht="19.5" x14ac:dyDescent="0.35">
      <c r="A16" s="246" t="s">
        <v>292</v>
      </c>
    </row>
    <row r="17" spans="1:1" ht="15" x14ac:dyDescent="0.2">
      <c r="A17" s="247" t="s">
        <v>293</v>
      </c>
    </row>
  </sheetData>
  <sheetProtection password="8497" sheet="1" formatCells="0" formatColumns="0" formatRows="0" insertColumns="0" insertRows="0" insertHyperlinks="0" deleteColumns="0" deleteRows="0" sort="0" autoFilter="0" pivotTables="0"/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21"/>
  <sheetViews>
    <sheetView view="pageBreakPreview" zoomScaleNormal="100" workbookViewId="0">
      <selection activeCell="C16" sqref="C16"/>
    </sheetView>
  </sheetViews>
  <sheetFormatPr defaultRowHeight="12.75" x14ac:dyDescent="0.2"/>
  <cols>
    <col min="1" max="1" width="58.28515625" style="108" customWidth="1"/>
    <col min="2" max="2" width="11.140625" style="108" customWidth="1"/>
    <col min="3" max="3" width="11.28515625" style="108" customWidth="1"/>
    <col min="4" max="1025" width="9.140625" style="108" customWidth="1"/>
  </cols>
  <sheetData>
    <row r="1" spans="1:3" x14ac:dyDescent="0.2">
      <c r="A1" s="3" t="s">
        <v>0</v>
      </c>
    </row>
    <row r="2" spans="1:3" x14ac:dyDescent="0.2">
      <c r="A2" s="4" t="s">
        <v>294</v>
      </c>
    </row>
    <row r="3" spans="1:3" x14ac:dyDescent="0.2">
      <c r="A3" s="4" t="s">
        <v>295</v>
      </c>
    </row>
    <row r="4" spans="1:3" x14ac:dyDescent="0.2">
      <c r="A4" s="1" t="s">
        <v>296</v>
      </c>
    </row>
    <row r="6" spans="1:3" ht="18" x14ac:dyDescent="0.25">
      <c r="A6" s="297" t="s">
        <v>297</v>
      </c>
      <c r="B6" s="297"/>
      <c r="C6" s="297"/>
    </row>
    <row r="7" spans="1:3" ht="18" x14ac:dyDescent="0.25">
      <c r="A7" s="248"/>
      <c r="B7" s="249"/>
      <c r="C7" s="250"/>
    </row>
    <row r="8" spans="1:3" s="172" customFormat="1" ht="15" x14ac:dyDescent="0.25">
      <c r="A8" s="251" t="s">
        <v>298</v>
      </c>
      <c r="B8" s="252" t="s">
        <v>299</v>
      </c>
      <c r="C8" s="253" t="s">
        <v>176</v>
      </c>
    </row>
    <row r="9" spans="1:3" ht="14.25" x14ac:dyDescent="0.2">
      <c r="A9" s="178" t="s">
        <v>300</v>
      </c>
      <c r="B9" s="254" t="s">
        <v>301</v>
      </c>
      <c r="C9" s="179">
        <v>5500</v>
      </c>
    </row>
    <row r="10" spans="1:3" ht="14.25" x14ac:dyDescent="0.2">
      <c r="A10" s="178" t="s">
        <v>302</v>
      </c>
      <c r="B10" s="254" t="s">
        <v>303</v>
      </c>
      <c r="C10" s="255">
        <f>0.0362741*C9^0.2336249</f>
        <v>0.27129294823771355</v>
      </c>
    </row>
    <row r="11" spans="1:3" ht="14.25" x14ac:dyDescent="0.2">
      <c r="A11" s="178" t="s">
        <v>304</v>
      </c>
      <c r="B11" s="254" t="s">
        <v>305</v>
      </c>
      <c r="C11" s="256">
        <f>C9*C10/1000</f>
        <v>1.4921112153074245</v>
      </c>
    </row>
    <row r="12" spans="1:3" ht="14.25" x14ac:dyDescent="0.2">
      <c r="A12" s="178" t="s">
        <v>306</v>
      </c>
      <c r="B12" s="254" t="s">
        <v>161</v>
      </c>
      <c r="C12" s="257">
        <f>(C11*30)</f>
        <v>44.763336459222735</v>
      </c>
    </row>
    <row r="13" spans="1:3" ht="14.25" x14ac:dyDescent="0.2">
      <c r="A13" s="178" t="s">
        <v>307</v>
      </c>
      <c r="B13" s="254" t="s">
        <v>58</v>
      </c>
      <c r="C13" s="258">
        <v>5</v>
      </c>
    </row>
    <row r="14" spans="1:3" ht="14.25" x14ac:dyDescent="0.2">
      <c r="A14" s="178" t="s">
        <v>308</v>
      </c>
      <c r="B14" s="254" t="s">
        <v>305</v>
      </c>
      <c r="C14" s="256">
        <f>IFERROR(C11*7/C13,0)</f>
        <v>2.0889557014303941</v>
      </c>
    </row>
    <row r="15" spans="1:3" ht="14.25" x14ac:dyDescent="0.2">
      <c r="A15" s="178" t="s">
        <v>309</v>
      </c>
      <c r="B15" s="254" t="s">
        <v>310</v>
      </c>
      <c r="C15" s="222">
        <v>500</v>
      </c>
    </row>
    <row r="16" spans="1:3" ht="14.25" x14ac:dyDescent="0.2">
      <c r="A16" s="178" t="s">
        <v>311</v>
      </c>
      <c r="B16" s="254"/>
      <c r="C16" s="179">
        <v>1</v>
      </c>
    </row>
    <row r="17" spans="1:3" ht="14.25" x14ac:dyDescent="0.2">
      <c r="A17" s="178" t="s">
        <v>312</v>
      </c>
      <c r="B17" s="254" t="s">
        <v>313</v>
      </c>
      <c r="C17" s="179">
        <v>12</v>
      </c>
    </row>
    <row r="18" spans="1:3" ht="14.25" x14ac:dyDescent="0.2">
      <c r="A18" s="178" t="s">
        <v>314</v>
      </c>
      <c r="B18" s="254" t="s">
        <v>161</v>
      </c>
      <c r="C18" s="222">
        <f>IF(AND(C17&gt;=15,C16=1),5.8,C17/2)</f>
        <v>6</v>
      </c>
    </row>
    <row r="19" spans="1:3" ht="14.25" x14ac:dyDescent="0.2">
      <c r="A19" s="178" t="s">
        <v>315</v>
      </c>
      <c r="B19" s="254"/>
      <c r="C19" s="256">
        <f>IFERROR(C14/C18,0)</f>
        <v>0.34815928357173237</v>
      </c>
    </row>
    <row r="20" spans="1:3" ht="14.25" x14ac:dyDescent="0.2">
      <c r="A20" s="178" t="s">
        <v>316</v>
      </c>
      <c r="B20" s="254"/>
      <c r="C20" s="259">
        <v>1</v>
      </c>
    </row>
    <row r="21" spans="1:3" ht="14.25" x14ac:dyDescent="0.2">
      <c r="A21" s="260" t="s">
        <v>317</v>
      </c>
      <c r="B21" s="261"/>
      <c r="C21" s="262">
        <f>IFERROR(C19/C20,0)</f>
        <v>0.34815928357173237</v>
      </c>
    </row>
  </sheetData>
  <sheetProtection password="8497" sheet="1" formatCells="0" formatColumns="0" formatRows="0" insertColumns="0" insertRows="0" insertHyperlinks="0" deleteColumns="0" deleteRows="0" sort="0" autoFilter="0" pivotTables="0"/>
  <mergeCells count="1">
    <mergeCell ref="A6:C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1. Coleta Domiciliar</vt:lpstr>
      <vt:lpstr>2.Encargos Sociais</vt:lpstr>
      <vt:lpstr>3.CAGED</vt:lpstr>
      <vt:lpstr>4.BDI</vt:lpstr>
      <vt:lpstr>5. Depreciação</vt:lpstr>
      <vt:lpstr>Planilha1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Domiciliar'!Print_Titles_0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subject/>
  <dc:description/>
  <cp:lastModifiedBy>Gilda Ana Marcon Moreira</cp:lastModifiedBy>
  <cp:revision>2</cp:revision>
  <cp:lastPrinted>2020-10-26T12:08:02Z</cp:lastPrinted>
  <dcterms:created xsi:type="dcterms:W3CDTF">2000-12-13T10:02:50Z</dcterms:created>
  <dcterms:modified xsi:type="dcterms:W3CDTF">2020-10-26T12:28:18Z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dmlu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