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3.xml" ContentType="application/vnd.openxmlformats-officedocument.spreadsheetml.comments+xml"/>
  <Override PartName="/xl/drawings/drawing7.xml" ContentType="application/vnd.openxmlformats-officedocument.drawing+xml"/>
  <Override PartName="/xl/comments4.xml" ContentType="application/vnd.openxmlformats-officedocument.spreadsheetml.comments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4000" windowHeight="9600" tabRatio="802"/>
  </bookViews>
  <sheets>
    <sheet name="Resumo" sheetId="12" r:id="rId1"/>
    <sheet name="1. Coleta Domiciliar" sheetId="2" r:id="rId2"/>
    <sheet name="2.Transporte" sheetId="9" r:id="rId3"/>
    <sheet name="3. Destinação" sheetId="10" r:id="rId4"/>
    <sheet name="4 .Encargos Sociais" sheetId="8" r:id="rId5"/>
    <sheet name="5. BDI" sheetId="4" r:id="rId6"/>
    <sheet name="6. BDI Aterro" sheetId="11" r:id="rId7"/>
    <sheet name=" Depreciação" sheetId="6" r:id="rId8"/>
    <sheet name="Remuneração de capital" sheetId="7" r:id="rId9"/>
  </sheets>
  <definedNames>
    <definedName name="AbaDeprec">' Depreciação'!$A$1</definedName>
    <definedName name="AbaRemun">'Remuneração de capital'!$A$1</definedName>
    <definedName name="_xlnm.Print_Area" localSheetId="1">'1. Coleta Domiciliar'!$A$1:$F$250</definedName>
    <definedName name="_xlnm.Print_Area" localSheetId="2">'2.Transporte'!$A$1:$F$193</definedName>
    <definedName name="_xlnm.Print_Area" localSheetId="3">'3. Destinação'!$A$1:$F$42</definedName>
    <definedName name="_xlnm.Print_Area" localSheetId="4">'4 .Encargos Sociais'!$A$1:$D$40</definedName>
    <definedName name="_xlnm.Print_Area" localSheetId="5">'5. BDI'!$A$1:$F$29</definedName>
    <definedName name="_xlnm.Print_Area" localSheetId="6">'6. BDI Aterro'!$A$1:$F$29</definedName>
    <definedName name="_xlnm.Print_Area" localSheetId="0">Resumo!$A$1:$D$16</definedName>
    <definedName name="_xlnm.Print_Titles" localSheetId="1">'1. Coleta Domiciliar'!$1:$10</definedName>
    <definedName name="_xlnm.Print_Titles" localSheetId="2">'2.Transporte'!$1:$10</definedName>
    <definedName name="_xlnm.Print_Titles" localSheetId="3">'3. Destinação'!$1:$8</definedName>
    <definedName name="_xlnm.Print_Titles" localSheetId="0">Resumo!$1:$5</definedName>
  </definedNames>
  <calcPr calcId="145621"/>
</workbook>
</file>

<file path=xl/calcChain.xml><?xml version="1.0" encoding="utf-8"?>
<calcChain xmlns="http://schemas.openxmlformats.org/spreadsheetml/2006/main">
  <c r="A9" i="12" l="1"/>
  <c r="A10" i="12"/>
  <c r="D10" i="12"/>
  <c r="D9" i="12"/>
  <c r="D8" i="12"/>
  <c r="D11" i="12" s="1"/>
  <c r="B39" i="9" l="1"/>
  <c r="D175" i="9" l="1"/>
  <c r="D173" i="9"/>
  <c r="C161" i="9"/>
  <c r="D160" i="9"/>
  <c r="C159" i="9"/>
  <c r="D158" i="9"/>
  <c r="C158" i="9"/>
  <c r="D152" i="9"/>
  <c r="D140" i="9"/>
  <c r="D141" i="9"/>
  <c r="C139" i="9"/>
  <c r="D144" i="9"/>
  <c r="C144" i="9"/>
  <c r="D142" i="9"/>
  <c r="C142" i="9"/>
  <c r="D138" i="9"/>
  <c r="C138" i="9"/>
  <c r="D136" i="9"/>
  <c r="C136" i="9"/>
  <c r="D134" i="9"/>
  <c r="C134" i="9"/>
  <c r="D124" i="9"/>
  <c r="D125" i="9"/>
  <c r="D89" i="9"/>
  <c r="C72" i="9"/>
  <c r="C73" i="9"/>
  <c r="C74" i="9"/>
  <c r="C75" i="9"/>
  <c r="C76" i="9"/>
  <c r="C71" i="9"/>
  <c r="D72" i="9"/>
  <c r="D73" i="9"/>
  <c r="D74" i="9"/>
  <c r="D75" i="9"/>
  <c r="D76" i="9"/>
  <c r="D71" i="9"/>
  <c r="C77" i="9"/>
  <c r="A17" i="9"/>
  <c r="C61" i="9"/>
  <c r="E61" i="9" s="1"/>
  <c r="C60" i="9"/>
  <c r="E60" i="9" s="1"/>
  <c r="D55" i="9"/>
  <c r="E55" i="9"/>
  <c r="E226" i="2"/>
  <c r="E225" i="2"/>
  <c r="E224" i="2"/>
  <c r="E232" i="2"/>
  <c r="D233" i="2" s="1"/>
  <c r="E233" i="2" s="1"/>
  <c r="E234" i="2"/>
  <c r="D186" i="2"/>
  <c r="C186" i="2"/>
  <c r="E101" i="2"/>
  <c r="E117" i="2"/>
  <c r="E118" i="2"/>
  <c r="E119" i="2"/>
  <c r="D122" i="2" s="1"/>
  <c r="E120" i="2"/>
  <c r="E121" i="2"/>
  <c r="C122" i="2"/>
  <c r="C110" i="2"/>
  <c r="E116" i="2"/>
  <c r="E100" i="2"/>
  <c r="E102" i="2"/>
  <c r="E103" i="2"/>
  <c r="E104" i="2"/>
  <c r="E105" i="2"/>
  <c r="E106" i="2"/>
  <c r="E107" i="2"/>
  <c r="E108" i="2"/>
  <c r="E109" i="2"/>
  <c r="E99" i="2"/>
  <c r="A20" i="2"/>
  <c r="A19" i="2"/>
  <c r="E83" i="2"/>
  <c r="E186" i="2" l="1"/>
  <c r="E71" i="9"/>
  <c r="D139" i="9"/>
  <c r="E139" i="9" s="1"/>
  <c r="E76" i="9"/>
  <c r="E73" i="9"/>
  <c r="E72" i="9"/>
  <c r="E75" i="9"/>
  <c r="E74" i="9"/>
  <c r="F227" i="2"/>
  <c r="D77" i="9" l="1"/>
  <c r="E77" i="9" s="1"/>
  <c r="A18" i="2" l="1"/>
  <c r="C77" i="2"/>
  <c r="D32" i="8"/>
  <c r="C21" i="11"/>
  <c r="C31" i="10" s="1"/>
  <c r="C16" i="11"/>
  <c r="F14" i="11"/>
  <c r="E14" i="11"/>
  <c r="D14" i="11"/>
  <c r="E21" i="10"/>
  <c r="F22" i="10" s="1"/>
  <c r="F24" i="10" s="1"/>
  <c r="A16" i="10"/>
  <c r="A15" i="10"/>
  <c r="B44" i="2"/>
  <c r="C152" i="9"/>
  <c r="C135" i="9"/>
  <c r="C197" i="2"/>
  <c r="C180" i="2"/>
  <c r="C107" i="9"/>
  <c r="C96" i="9"/>
  <c r="C95" i="9"/>
  <c r="D94" i="9"/>
  <c r="C91" i="9"/>
  <c r="C90" i="9"/>
  <c r="D45" i="9"/>
  <c r="E56" i="9" l="1"/>
  <c r="F56" i="9" s="1"/>
  <c r="E16" i="9" s="1"/>
  <c r="E78" i="9"/>
  <c r="F78" i="9" s="1"/>
  <c r="E62" i="9"/>
  <c r="F62" i="9" s="1"/>
  <c r="E17" i="9" s="1"/>
  <c r="E84" i="2"/>
  <c r="F84" i="2" s="1"/>
  <c r="E19" i="2" s="1"/>
  <c r="E90" i="2"/>
  <c r="E15" i="10"/>
  <c r="F27" i="10"/>
  <c r="D31" i="10" l="1"/>
  <c r="E31" i="10" s="1"/>
  <c r="F32" i="10" s="1"/>
  <c r="F34" i="10" s="1"/>
  <c r="E16" i="10" s="1"/>
  <c r="F37" i="10" l="1"/>
  <c r="E17" i="10"/>
  <c r="F15" i="10" s="1"/>
  <c r="F16" i="10" l="1"/>
  <c r="F17" i="10" s="1"/>
  <c r="E177" i="9"/>
  <c r="E175" i="9"/>
  <c r="D176" i="9" s="1"/>
  <c r="E176" i="9" s="1"/>
  <c r="E173" i="9"/>
  <c r="D174" i="9" s="1"/>
  <c r="E174" i="9" s="1"/>
  <c r="C162" i="9"/>
  <c r="C160" i="9"/>
  <c r="E160" i="9" s="1"/>
  <c r="E158" i="9"/>
  <c r="E152" i="9"/>
  <c r="F153" i="9" s="1"/>
  <c r="E25" i="9" s="1"/>
  <c r="D145" i="9"/>
  <c r="C145" i="9"/>
  <c r="D143" i="9"/>
  <c r="C143" i="9"/>
  <c r="C141" i="9"/>
  <c r="D137" i="9"/>
  <c r="C137" i="9"/>
  <c r="D135" i="9"/>
  <c r="E127" i="9"/>
  <c r="C125" i="9"/>
  <c r="E125" i="9" s="1"/>
  <c r="C124" i="9"/>
  <c r="E124" i="9" s="1"/>
  <c r="C123" i="9"/>
  <c r="E118" i="9"/>
  <c r="C117" i="9"/>
  <c r="E115" i="9"/>
  <c r="C112" i="9"/>
  <c r="D111" i="9"/>
  <c r="D106" i="9"/>
  <c r="E106" i="9" s="1"/>
  <c r="E101" i="9"/>
  <c r="C98" i="9"/>
  <c r="C94" i="9"/>
  <c r="C111" i="9" s="1"/>
  <c r="C93" i="9"/>
  <c r="E89" i="9"/>
  <c r="C108" i="9" s="1"/>
  <c r="E51" i="9"/>
  <c r="C50" i="9"/>
  <c r="E46" i="9"/>
  <c r="E45" i="9"/>
  <c r="E47" i="9" s="1"/>
  <c r="D48" i="9" s="1"/>
  <c r="A37" i="9"/>
  <c r="E34" i="9"/>
  <c r="A33" i="9"/>
  <c r="A28" i="9"/>
  <c r="A27" i="9"/>
  <c r="A26" i="9"/>
  <c r="A25" i="9"/>
  <c r="A24" i="9"/>
  <c r="A23" i="9"/>
  <c r="A22" i="9"/>
  <c r="A21" i="9"/>
  <c r="A20" i="9"/>
  <c r="A19" i="9"/>
  <c r="A18" i="9"/>
  <c r="A16" i="9"/>
  <c r="A15" i="9"/>
  <c r="A14" i="9"/>
  <c r="E135" i="9" l="1"/>
  <c r="D146" i="9"/>
  <c r="E141" i="9"/>
  <c r="E137" i="9"/>
  <c r="F80" i="9"/>
  <c r="E145" i="9"/>
  <c r="E143" i="9"/>
  <c r="E111" i="9"/>
  <c r="D161" i="9"/>
  <c r="E161" i="9" s="1"/>
  <c r="D162" i="9" s="1"/>
  <c r="E162" i="9" s="1"/>
  <c r="F163" i="9" s="1"/>
  <c r="E26" i="9" s="1"/>
  <c r="F177" i="9"/>
  <c r="E27" i="9" s="1"/>
  <c r="D92" i="9"/>
  <c r="E92" i="9" s="1"/>
  <c r="D93" i="9" s="1"/>
  <c r="E93" i="9" s="1"/>
  <c r="E94" i="9"/>
  <c r="A31" i="2"/>
  <c r="E236" i="2"/>
  <c r="D235" i="2"/>
  <c r="E235" i="2" s="1"/>
  <c r="F147" i="9" l="1"/>
  <c r="E24" i="9" s="1"/>
  <c r="C109" i="9"/>
  <c r="D110" i="9" s="1"/>
  <c r="E110" i="9" s="1"/>
  <c r="E116" i="9" s="1"/>
  <c r="D117" i="9" s="1"/>
  <c r="E117" i="9" s="1"/>
  <c r="F118" i="9" s="1"/>
  <c r="E22" i="9" s="1"/>
  <c r="E18" i="9"/>
  <c r="D97" i="9"/>
  <c r="E97" i="9" s="1"/>
  <c r="D98" i="9" s="1"/>
  <c r="E98" i="9" s="1"/>
  <c r="E99" i="9" s="1"/>
  <c r="D100" i="9" s="1"/>
  <c r="E100" i="9" s="1"/>
  <c r="F101" i="9" s="1"/>
  <c r="C113" i="9"/>
  <c r="F236" i="2"/>
  <c r="E31" i="2" s="1"/>
  <c r="C207" i="2"/>
  <c r="C114" i="9" l="1"/>
  <c r="E21" i="9"/>
  <c r="E172" i="2"/>
  <c r="E163" i="2"/>
  <c r="E123" i="2"/>
  <c r="E146" i="2"/>
  <c r="E65" i="2"/>
  <c r="E70" i="2"/>
  <c r="C64" i="2"/>
  <c r="E56" i="2"/>
  <c r="C55" i="2"/>
  <c r="C76" i="2" s="1"/>
  <c r="C78" i="2" l="1"/>
  <c r="D78" i="2" s="1"/>
  <c r="E78" i="2" s="1"/>
  <c r="C89" i="2"/>
  <c r="E89" i="2" s="1"/>
  <c r="C88" i="2"/>
  <c r="E88" i="2" s="1"/>
  <c r="D76" i="2"/>
  <c r="E76" i="2" s="1"/>
  <c r="E122" i="2"/>
  <c r="F123" i="2" s="1"/>
  <c r="F90" i="2" l="1"/>
  <c r="E20" i="2" s="1"/>
  <c r="C169" i="2"/>
  <c r="C168" i="2"/>
  <c r="C170" i="2"/>
  <c r="A32" i="2" l="1"/>
  <c r="A30" i="2"/>
  <c r="A22" i="2"/>
  <c r="A21" i="2"/>
  <c r="A14" i="2"/>
  <c r="C162" i="2" l="1"/>
  <c r="C157" i="2"/>
  <c r="D190" i="2"/>
  <c r="D188" i="2"/>
  <c r="D184" i="2"/>
  <c r="D182" i="2"/>
  <c r="D110" i="2" l="1"/>
  <c r="E110" i="2" s="1"/>
  <c r="A29" i="2"/>
  <c r="A28" i="2"/>
  <c r="A27" i="2"/>
  <c r="A26" i="2"/>
  <c r="A25" i="2"/>
  <c r="A24" i="2"/>
  <c r="A23" i="2"/>
  <c r="A17" i="2"/>
  <c r="A16" i="2"/>
  <c r="A15" i="2"/>
  <c r="E111" i="2"/>
  <c r="D151" i="2"/>
  <c r="C16" i="4"/>
  <c r="C21" i="4" s="1"/>
  <c r="C243" i="2" s="1"/>
  <c r="F14" i="4"/>
  <c r="E14" i="4"/>
  <c r="D14" i="4"/>
  <c r="D14" i="8"/>
  <c r="E59" i="2"/>
  <c r="E60" i="2" s="1"/>
  <c r="C205" i="2"/>
  <c r="E205" i="2" s="1"/>
  <c r="C182" i="2"/>
  <c r="E182" i="2" s="1"/>
  <c r="D180" i="2"/>
  <c r="D191" i="2" s="1"/>
  <c r="E134" i="2"/>
  <c r="D156" i="2"/>
  <c r="C143" i="2"/>
  <c r="C138" i="2"/>
  <c r="C139" i="2"/>
  <c r="C156" i="2" s="1"/>
  <c r="A37" i="2"/>
  <c r="A38" i="2"/>
  <c r="A42" i="2"/>
  <c r="E50" i="2"/>
  <c r="E203" i="2"/>
  <c r="E170" i="2"/>
  <c r="E169" i="2"/>
  <c r="E215" i="2"/>
  <c r="E216" i="2"/>
  <c r="E217" i="2"/>
  <c r="C185" i="9" l="1"/>
  <c r="F111" i="2"/>
  <c r="D137" i="2"/>
  <c r="E137" i="2" s="1"/>
  <c r="C188" i="2"/>
  <c r="E188" i="2" s="1"/>
  <c r="C190" i="2"/>
  <c r="E190" i="2" s="1"/>
  <c r="F218" i="2"/>
  <c r="F220" i="2" s="1"/>
  <c r="E30" i="2" s="1"/>
  <c r="E180" i="2"/>
  <c r="E139" i="2"/>
  <c r="C158" i="2" s="1"/>
  <c r="E39" i="2"/>
  <c r="E68" i="2"/>
  <c r="E156" i="2"/>
  <c r="E69" i="2"/>
  <c r="D51" i="2"/>
  <c r="C184" i="2"/>
  <c r="E184" i="2" s="1"/>
  <c r="E197" i="2"/>
  <c r="F198" i="2" s="1"/>
  <c r="E28" i="2" s="1"/>
  <c r="E151" i="2"/>
  <c r="D206" i="2"/>
  <c r="E206" i="2" s="1"/>
  <c r="D207" i="2" s="1"/>
  <c r="E207" i="2" s="1"/>
  <c r="F208" i="2" s="1"/>
  <c r="E29" i="2" s="1"/>
  <c r="E61" i="2"/>
  <c r="E51" i="2" l="1"/>
  <c r="E52" i="2" s="1"/>
  <c r="D53" i="2" s="1"/>
  <c r="D77" i="2"/>
  <c r="E77" i="2" s="1"/>
  <c r="F79" i="2" s="1"/>
  <c r="E18" i="2" s="1"/>
  <c r="D138" i="2"/>
  <c r="E138" i="2" s="1"/>
  <c r="C153" i="2"/>
  <c r="D22" i="8"/>
  <c r="D31" i="8" s="1"/>
  <c r="D33" i="8" s="1"/>
  <c r="F70" i="2"/>
  <c r="E17" i="2" s="1"/>
  <c r="D142" i="2"/>
  <c r="E142" i="2" s="1"/>
  <c r="D143" i="2" s="1"/>
  <c r="E143" i="2" s="1"/>
  <c r="F192" i="2"/>
  <c r="E27" i="2" s="1"/>
  <c r="D62" i="2"/>
  <c r="C154" i="2" l="1"/>
  <c r="D155" i="2" s="1"/>
  <c r="E155" i="2" s="1"/>
  <c r="D168" i="2"/>
  <c r="D123" i="9" s="1"/>
  <c r="E144" i="2"/>
  <c r="D145" i="2" s="1"/>
  <c r="E145" i="2" s="1"/>
  <c r="F146" i="2" s="1"/>
  <c r="D29" i="8"/>
  <c r="D34" i="8" s="1"/>
  <c r="C48" i="9" s="1"/>
  <c r="E48" i="9" s="1"/>
  <c r="E49" i="9" s="1"/>
  <c r="D50" i="9" s="1"/>
  <c r="E50" i="9" s="1"/>
  <c r="F51" i="9" s="1"/>
  <c r="F64" i="9" s="1"/>
  <c r="C159" i="2"/>
  <c r="E160" i="2" s="1"/>
  <c r="E161" i="2" l="1"/>
  <c r="D162" i="2" s="1"/>
  <c r="E162" i="2" s="1"/>
  <c r="F163" i="2" s="1"/>
  <c r="E25" i="2" s="1"/>
  <c r="E123" i="9"/>
  <c r="D126" i="9" s="1"/>
  <c r="E126" i="9" s="1"/>
  <c r="F127" i="9" s="1"/>
  <c r="F166" i="9" s="1"/>
  <c r="F180" i="9" s="1"/>
  <c r="E168" i="2"/>
  <c r="D171" i="2" s="1"/>
  <c r="E171" i="2" s="1"/>
  <c r="F172" i="2" s="1"/>
  <c r="E26" i="2" s="1"/>
  <c r="E15" i="9"/>
  <c r="C62" i="2"/>
  <c r="E62" i="2" s="1"/>
  <c r="C53" i="2"/>
  <c r="E53" i="2" s="1"/>
  <c r="E54" i="2" s="1"/>
  <c r="D55" i="2" s="1"/>
  <c r="E55" i="2" s="1"/>
  <c r="F56" i="2" s="1"/>
  <c r="E24" i="2"/>
  <c r="F210" i="2" l="1"/>
  <c r="E22" i="2" s="1"/>
  <c r="E23" i="2"/>
  <c r="E23" i="9"/>
  <c r="E20" i="9" s="1"/>
  <c r="E19" i="9"/>
  <c r="E15" i="2"/>
  <c r="E14" i="9"/>
  <c r="E63" i="2"/>
  <c r="D64" i="2" s="1"/>
  <c r="E64" i="2" s="1"/>
  <c r="F65" i="2" s="1"/>
  <c r="F92" i="2" s="1"/>
  <c r="E14" i="2" l="1"/>
  <c r="D185" i="9"/>
  <c r="E185" i="9" s="1"/>
  <c r="F186" i="9" s="1"/>
  <c r="E28" i="9" s="1"/>
  <c r="E29" i="9" s="1"/>
  <c r="E16" i="2"/>
  <c r="F14" i="9" l="1"/>
  <c r="F17" i="9"/>
  <c r="F188" i="9"/>
  <c r="F27" i="9"/>
  <c r="F26" i="9"/>
  <c r="F24" i="9"/>
  <c r="F16" i="9"/>
  <c r="F21" i="9"/>
  <c r="F20" i="9"/>
  <c r="F15" i="9"/>
  <c r="F25" i="9"/>
  <c r="F22" i="9"/>
  <c r="F18" i="9"/>
  <c r="F19" i="9"/>
  <c r="F23" i="9"/>
  <c r="F28" i="9"/>
  <c r="F125" i="2"/>
  <c r="F238" i="2" s="1"/>
  <c r="F29" i="9" l="1"/>
  <c r="D243" i="2"/>
  <c r="E243" i="2" s="1"/>
  <c r="E21" i="2"/>
  <c r="F244" i="2" l="1"/>
  <c r="F246" i="2" s="1"/>
  <c r="I37" i="10" s="1"/>
  <c r="E32" i="2" l="1"/>
  <c r="E33" i="2" l="1"/>
  <c r="F20" i="2" l="1"/>
  <c r="F19" i="2"/>
  <c r="F31" i="2"/>
  <c r="F18" i="2"/>
  <c r="F14" i="2"/>
  <c r="F16" i="2"/>
  <c r="F28" i="2"/>
  <c r="F17" i="2"/>
  <c r="F21" i="2"/>
  <c r="F30" i="2"/>
  <c r="F26" i="2"/>
  <c r="F15" i="2"/>
  <c r="F27" i="2"/>
  <c r="F24" i="2"/>
  <c r="F25" i="2"/>
  <c r="F29" i="2"/>
  <c r="F23" i="2"/>
  <c r="F22" i="2"/>
  <c r="F32" i="2"/>
  <c r="F33" i="2" l="1"/>
</calcChain>
</file>

<file path=xl/comments1.xml><?xml version="1.0" encoding="utf-8"?>
<comments xmlns="http://schemas.openxmlformats.org/spreadsheetml/2006/main">
  <authors>
    <author>Clauber Bridi</author>
  </authors>
  <commentList>
    <comment ref="A12" authorId="0">
      <text>
        <r>
          <rPr>
            <sz val="9"/>
            <color indexed="81"/>
            <rFont val="Tahoma"/>
            <family val="2"/>
          </rPr>
          <t>Qualquer custo previsto no edital e não contemplado nesta planilha modelo deverá ser devidamente incluído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Informar o fator de utilização das equipes de coleta. 
Por exemplo:
Equipes com utilização integral = 100%
Equipes com utilização parcial = n° horas trabalhadas por semana /44 horas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3" authorId="0">
      <text>
        <r>
          <rPr>
            <sz val="9"/>
            <color indexed="81"/>
            <rFont val="Tahoma"/>
            <family val="2"/>
          </rPr>
          <t xml:space="preserve">Preencher a planilha Encargos Sociais </t>
        </r>
      </text>
    </comment>
    <comment ref="C62" authorId="0">
      <text>
        <r>
          <rPr>
            <sz val="9"/>
            <color indexed="81"/>
            <rFont val="Tahoma"/>
            <family val="2"/>
          </rPr>
          <t xml:space="preserve">Preencher a planilha Encargos Sociais </t>
        </r>
      </text>
    </comment>
    <comment ref="D68" authorId="0">
      <text>
        <r>
          <rPr>
            <sz val="9"/>
            <color indexed="81"/>
            <rFont val="Tahoma"/>
            <family val="2"/>
          </rPr>
          <t>Informar o valor mensal do auxilio alimentação conforme Convenção Coletiva da categoria</t>
        </r>
      </text>
    </comment>
    <comment ref="D69" authorId="0">
      <text>
        <r>
          <rPr>
            <sz val="9"/>
            <color indexed="81"/>
            <rFont val="Tahoma"/>
            <family val="2"/>
          </rPr>
          <t>Informar o valor mensal do auxilio alimentação conforme Convenção Coletiva da categoria</t>
        </r>
      </text>
    </comment>
    <comment ref="D76" authorId="0">
      <text>
        <r>
          <rPr>
            <sz val="9"/>
            <color indexed="81"/>
            <rFont val="Tahoma"/>
            <family val="2"/>
          </rPr>
          <t>Valor Unitário considerando o desconto legal de até 6% do salário</t>
        </r>
      </text>
    </comment>
    <comment ref="D88" authorId="0">
      <text>
        <r>
          <rPr>
            <sz val="9"/>
            <color indexed="81"/>
            <rFont val="Tahoma"/>
            <family val="2"/>
          </rPr>
          <t>Informar o valor mensal do auxilio alimentação, considerando o desconto aplicável ao funcionário, conforme Convenção Coletiva da categoria</t>
        </r>
      </text>
    </comment>
    <comment ref="C99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99" author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00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00" author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02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02" author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04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04" author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05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05" author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06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06" author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07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07" author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08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08" author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09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09" author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16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16" author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17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17" author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18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18" author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19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19" author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20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20" author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21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21" author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D134" authorId="0">
      <text>
        <r>
          <rPr>
            <sz val="9"/>
            <color indexed="81"/>
            <rFont val="Tahoma"/>
            <family val="2"/>
          </rPr>
          <t>Informar o preço unitário do chassis do caminhão de coleta</t>
        </r>
      </text>
    </comment>
    <comment ref="C135" authorId="0">
      <text>
        <r>
          <rPr>
            <sz val="9"/>
            <color indexed="81"/>
            <rFont val="Tahoma"/>
            <family val="2"/>
          </rPr>
          <t>Informar a vida útil estimada para o caminhão, em anos</t>
        </r>
      </text>
    </comment>
    <comment ref="C136" authorId="0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veículo proposto.</t>
        </r>
      </text>
    </comment>
    <comment ref="C137" authorId="0">
      <text>
        <r>
          <rPr>
            <b/>
            <sz val="9"/>
            <color indexed="81"/>
            <rFont val="Tahoma"/>
            <family val="2"/>
          </rPr>
          <t xml:space="preserve">Informar o valor da depreciação do caminhão, adotando o valor sugerido pelo TCE ou outro valor estimado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9" authorId="0">
      <text>
        <r>
          <rPr>
            <sz val="9"/>
            <color indexed="81"/>
            <rFont val="Tahoma"/>
            <family val="2"/>
          </rPr>
          <t xml:space="preserve">Informar o preço unitário do equipamento compactador
</t>
        </r>
      </text>
    </comment>
    <comment ref="C140" authorId="0">
      <text>
        <r>
          <rPr>
            <sz val="9"/>
            <color indexed="81"/>
            <rFont val="Tahoma"/>
            <family val="2"/>
          </rPr>
          <t>Informar a vida útil estimada para o compactador, em anos</t>
        </r>
      </text>
    </comment>
    <comment ref="C141" authorId="0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compactador proposto.</t>
        </r>
      </text>
    </comment>
    <comment ref="C142" authorId="0">
      <text>
        <r>
          <rPr>
            <b/>
            <sz val="9"/>
            <color indexed="81"/>
            <rFont val="Tahoma"/>
            <family val="2"/>
          </rPr>
          <t xml:space="preserve">Informar o valor da depreciação do compactador, adotando o valor sugerido pelo TCE ou outro valor estimado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52" authorId="0">
      <text>
        <r>
          <rPr>
            <b/>
            <sz val="9"/>
            <color indexed="81"/>
            <rFont val="Tahoma"/>
            <family val="2"/>
          </rPr>
          <t>Informar a taxa de juros anual para remuneração do capital. Recomenda-se o uso da Taxa SELIC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69" authorId="0">
      <text>
        <r>
          <rPr>
            <sz val="9"/>
            <color indexed="81"/>
            <rFont val="Tahoma"/>
            <family val="2"/>
          </rPr>
          <t xml:space="preserve">Informar o valor do seguro obrigatório e licenciamento anual de um caminhão
</t>
        </r>
      </text>
    </comment>
    <comment ref="D170" authorId="0">
      <text>
        <r>
          <rPr>
            <sz val="9"/>
            <color indexed="81"/>
            <rFont val="Tahoma"/>
            <family val="2"/>
          </rPr>
          <t xml:space="preserve">Informar o valor do seguro contra terceiros de um caminhão, se houver
</t>
        </r>
      </text>
    </comment>
    <comment ref="C179" authorId="0">
      <text>
        <r>
          <rPr>
            <sz val="9"/>
            <color indexed="81"/>
            <rFont val="Tahoma"/>
            <family val="2"/>
          </rPr>
          <t>Informar o consumo estimado do veículo em km/l</t>
        </r>
      </text>
    </comment>
    <comment ref="D179" authorId="0">
      <text>
        <r>
          <rPr>
            <sz val="9"/>
            <color indexed="81"/>
            <rFont val="Tahoma"/>
            <family val="2"/>
          </rPr>
          <t xml:space="preserve">Informar o preço unitário do combustivel
</t>
        </r>
      </text>
    </comment>
    <comment ref="C181" authorId="0">
      <text>
        <r>
          <rPr>
            <sz val="9"/>
            <color indexed="81"/>
            <rFont val="Tahoma"/>
            <family val="2"/>
          </rPr>
          <t>Informar o consumo de óleo do motor a cada 1000km</t>
        </r>
      </text>
    </comment>
    <comment ref="D181" authorId="0">
      <text>
        <r>
          <rPr>
            <sz val="9"/>
            <color indexed="81"/>
            <rFont val="Tahoma"/>
            <family val="2"/>
          </rPr>
          <t xml:space="preserve">Informar o preço unitário do litro do óleo do motor
</t>
        </r>
      </text>
    </comment>
    <comment ref="C183" authorId="0">
      <text>
        <r>
          <rPr>
            <sz val="9"/>
            <color indexed="81"/>
            <rFont val="Tahoma"/>
            <family val="2"/>
          </rPr>
          <t>Informar o consumo de óleo da transmissão a cada 1000km</t>
        </r>
      </text>
    </comment>
    <comment ref="D183" authorId="0">
      <text>
        <r>
          <rPr>
            <sz val="9"/>
            <color indexed="81"/>
            <rFont val="Tahoma"/>
            <family val="2"/>
          </rPr>
          <t xml:space="preserve">Informar o preço unitário do litro do óleo da transmissão
</t>
        </r>
      </text>
    </comment>
    <comment ref="C185" authorId="0">
      <text>
        <r>
          <rPr>
            <sz val="9"/>
            <color indexed="81"/>
            <rFont val="Tahoma"/>
            <family val="2"/>
          </rPr>
          <t>Informar o consumo de óleo da transmissão a cada 1000km</t>
        </r>
      </text>
    </comment>
    <comment ref="D185" authorId="0">
      <text>
        <r>
          <rPr>
            <sz val="9"/>
            <color indexed="81"/>
            <rFont val="Tahoma"/>
            <family val="2"/>
          </rPr>
          <t xml:space="preserve">Informar o preço unitário do litro do óleo da transmissão
</t>
        </r>
      </text>
    </comment>
    <comment ref="C187" authorId="0">
      <text>
        <r>
          <rPr>
            <sz val="9"/>
            <color indexed="81"/>
            <rFont val="Tahoma"/>
            <family val="2"/>
          </rPr>
          <t>Informar o consumo de óleo hidráulico a cada 1000km</t>
        </r>
      </text>
    </comment>
    <comment ref="D187" authorId="0">
      <text>
        <r>
          <rPr>
            <sz val="9"/>
            <color indexed="81"/>
            <rFont val="Tahoma"/>
            <family val="2"/>
          </rPr>
          <t xml:space="preserve">Informar o preço unitário do litro do óleo hidráulico
</t>
        </r>
      </text>
    </comment>
    <comment ref="C189" authorId="0">
      <text>
        <r>
          <rPr>
            <sz val="9"/>
            <color indexed="81"/>
            <rFont val="Tahoma"/>
            <family val="2"/>
          </rPr>
          <t>Informar o consumo de graxa a cada 1000km</t>
        </r>
      </text>
    </comment>
    <comment ref="D189" authorId="0">
      <text>
        <r>
          <rPr>
            <sz val="9"/>
            <color indexed="81"/>
            <rFont val="Tahoma"/>
            <family val="2"/>
          </rPr>
          <t xml:space="preserve">Informar o preço unitário do litro da graxa
</t>
        </r>
      </text>
    </comment>
    <comment ref="D197" authorId="0">
      <text>
        <r>
          <rPr>
            <sz val="9"/>
            <color indexed="81"/>
            <rFont val="Tahoma"/>
            <family val="2"/>
          </rPr>
          <t xml:space="preserve">Informar o custo de manutenção em R$/km rodado
</t>
        </r>
      </text>
    </comment>
    <comment ref="C203" authorId="0">
      <text>
        <r>
          <rPr>
            <sz val="9"/>
            <color indexed="81"/>
            <rFont val="Tahoma"/>
            <family val="2"/>
          </rPr>
          <t>Informar a quantidade de pneus novos de 1 caminhão</t>
        </r>
      </text>
    </comment>
    <comment ref="D203" authorId="0">
      <text>
        <r>
          <rPr>
            <sz val="9"/>
            <color indexed="81"/>
            <rFont val="Tahoma"/>
            <family val="2"/>
          </rPr>
          <t xml:space="preserve">Informar o preço unitário de cada pneu
</t>
        </r>
      </text>
    </comment>
    <comment ref="C204" authorId="0">
      <text>
        <r>
          <rPr>
            <sz val="9"/>
            <color indexed="81"/>
            <rFont val="Tahoma"/>
            <family val="2"/>
          </rPr>
          <t>Informar o número de recapagens por pneu</t>
        </r>
      </text>
    </comment>
    <comment ref="D205" authorId="0">
      <text>
        <r>
          <rPr>
            <sz val="9"/>
            <color indexed="81"/>
            <rFont val="Tahoma"/>
            <family val="2"/>
          </rPr>
          <t xml:space="preserve">Informar o preço unitário de cada recapagem
</t>
        </r>
      </text>
    </comment>
    <comment ref="C206" authorId="0">
      <text>
        <r>
          <rPr>
            <sz val="9"/>
            <color indexed="81"/>
            <rFont val="Tahoma"/>
            <family val="2"/>
          </rPr>
          <t xml:space="preserve">Informar a durabilidade média dos pneus considerando as recapagens, em km
</t>
        </r>
      </text>
    </comment>
    <comment ref="C215" author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15" author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216" author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16" author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217" author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17" author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243" authorId="0">
      <text>
        <r>
          <rPr>
            <sz val="9"/>
            <color indexed="81"/>
            <rFont val="Tahoma"/>
            <family val="2"/>
          </rPr>
          <t>Preencher a aba 4.BDI</t>
        </r>
      </text>
    </comment>
  </commentList>
</comments>
</file>

<file path=xl/comments2.xml><?xml version="1.0" encoding="utf-8"?>
<comments xmlns="http://schemas.openxmlformats.org/spreadsheetml/2006/main">
  <authors>
    <author>Clauber Bridi</author>
  </authors>
  <commentList>
    <comment ref="A12" authorId="0">
      <text>
        <r>
          <rPr>
            <sz val="9"/>
            <color indexed="81"/>
            <rFont val="Tahoma"/>
            <family val="2"/>
          </rPr>
          <t>Qualquer custo previsto no edital e não contemplado nesta planilha modelo deverá ser devidamente incluído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>
      <text>
        <r>
          <rPr>
            <b/>
            <sz val="9"/>
            <color indexed="81"/>
            <rFont val="Tahoma"/>
            <family val="2"/>
          </rPr>
          <t>Informar o fator de utilização das equipes de coleta. 
Por exemplo:
Equipes com utilização integral = 100%
Equipes com utilização parcial = n° horas trabalhadas por semana /44 horas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8" authorId="0">
      <text>
        <r>
          <rPr>
            <sz val="9"/>
            <color indexed="81"/>
            <rFont val="Tahoma"/>
            <family val="2"/>
          </rPr>
          <t xml:space="preserve">Preencher a planilha Encargos Sociais </t>
        </r>
      </text>
    </comment>
    <comment ref="D55" authorId="0">
      <text>
        <r>
          <rPr>
            <sz val="9"/>
            <color indexed="81"/>
            <rFont val="Tahoma"/>
            <family val="2"/>
          </rPr>
          <t>Informar o valor mensal do auxilio alimentação conforme Convenção Coletiva da categoria</t>
        </r>
      </text>
    </comment>
    <comment ref="D60" authorId="0">
      <text>
        <r>
          <rPr>
            <sz val="9"/>
            <color indexed="81"/>
            <rFont val="Tahoma"/>
            <family val="2"/>
          </rPr>
          <t>Informar o valor mensal do auxilio alimentação, considerando o desconto aplicável ao funcionário, conforme Convenção Coletiva da categoria</t>
        </r>
      </text>
    </comment>
    <comment ref="C71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71" author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72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72" author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73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73" author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74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74" author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75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75" author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76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76" author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D89" authorId="0">
      <text>
        <r>
          <rPr>
            <sz val="9"/>
            <color indexed="81"/>
            <rFont val="Tahoma"/>
            <family val="2"/>
          </rPr>
          <t>Informar o preço unitário do chassis do caminhão de coleta</t>
        </r>
      </text>
    </comment>
    <comment ref="C90" authorId="0">
      <text>
        <r>
          <rPr>
            <sz val="9"/>
            <color indexed="81"/>
            <rFont val="Tahoma"/>
            <family val="2"/>
          </rPr>
          <t>Informar a vida útil estimada para o caminhão, em anos</t>
        </r>
      </text>
    </comment>
    <comment ref="C91" authorId="0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veículo proposto.</t>
        </r>
      </text>
    </comment>
    <comment ref="C92" authorId="0">
      <text>
        <r>
          <rPr>
            <b/>
            <sz val="9"/>
            <color indexed="81"/>
            <rFont val="Tahoma"/>
            <family val="2"/>
          </rPr>
          <t xml:space="preserve">Informar o valor da depreciação do caminhão, adotando o valor sugerido pelo TCE ou outro valor estimado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94" authorId="0">
      <text>
        <r>
          <rPr>
            <sz val="9"/>
            <color indexed="81"/>
            <rFont val="Tahoma"/>
            <family val="2"/>
          </rPr>
          <t xml:space="preserve">Informar o preço unitário do equipamento compactador
</t>
        </r>
      </text>
    </comment>
    <comment ref="C95" authorId="0">
      <text>
        <r>
          <rPr>
            <sz val="9"/>
            <color indexed="81"/>
            <rFont val="Tahoma"/>
            <family val="2"/>
          </rPr>
          <t>Informar a vida útil estimada para o compactador, em anos</t>
        </r>
      </text>
    </comment>
    <comment ref="C96" authorId="0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compactador proposto.</t>
        </r>
      </text>
    </comment>
    <comment ref="C97" authorId="0">
      <text>
        <r>
          <rPr>
            <b/>
            <sz val="9"/>
            <color indexed="81"/>
            <rFont val="Tahoma"/>
            <family val="2"/>
          </rPr>
          <t xml:space="preserve">Informar o valor da depreciação do compactador, adotando o valor sugerido pelo TCE ou outro valor estimado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7" authorId="0">
      <text>
        <r>
          <rPr>
            <b/>
            <sz val="9"/>
            <color indexed="81"/>
            <rFont val="Tahoma"/>
            <family val="2"/>
          </rPr>
          <t>Informar a taxa de juros anual para remuneração do capital. Recomenda-se o uso da Taxa SELIC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24" authorId="0">
      <text>
        <r>
          <rPr>
            <sz val="9"/>
            <color indexed="81"/>
            <rFont val="Tahoma"/>
            <family val="2"/>
          </rPr>
          <t xml:space="preserve">Informar o valor do seguro obrigatório e licenciamento anual de um caminhão
</t>
        </r>
      </text>
    </comment>
    <comment ref="D125" authorId="0">
      <text>
        <r>
          <rPr>
            <sz val="9"/>
            <color indexed="81"/>
            <rFont val="Tahoma"/>
            <family val="2"/>
          </rPr>
          <t xml:space="preserve">Informar o valor do seguro contra terceiros de um caminhão, se houver
</t>
        </r>
      </text>
    </comment>
    <comment ref="C134" authorId="0">
      <text>
        <r>
          <rPr>
            <sz val="9"/>
            <color indexed="81"/>
            <rFont val="Tahoma"/>
            <family val="2"/>
          </rPr>
          <t>Informar o consumo estimado do veículo em km/l</t>
        </r>
      </text>
    </comment>
    <comment ref="D134" authorId="0">
      <text>
        <r>
          <rPr>
            <sz val="9"/>
            <color indexed="81"/>
            <rFont val="Tahoma"/>
            <family val="2"/>
          </rPr>
          <t xml:space="preserve">Informar o preço unitário do combustivel
</t>
        </r>
      </text>
    </comment>
    <comment ref="C136" authorId="0">
      <text>
        <r>
          <rPr>
            <sz val="9"/>
            <color indexed="81"/>
            <rFont val="Tahoma"/>
            <family val="2"/>
          </rPr>
          <t>Informar o consumo de óleo do motor a cada 1000km</t>
        </r>
      </text>
    </comment>
    <comment ref="D136" authorId="0">
      <text>
        <r>
          <rPr>
            <sz val="9"/>
            <color indexed="81"/>
            <rFont val="Tahoma"/>
            <family val="2"/>
          </rPr>
          <t xml:space="preserve">Informar o preço unitário do litro do óleo do motor
</t>
        </r>
      </text>
    </comment>
    <comment ref="C138" authorId="0">
      <text>
        <r>
          <rPr>
            <sz val="9"/>
            <color indexed="81"/>
            <rFont val="Tahoma"/>
            <family val="2"/>
          </rPr>
          <t>Informar o consumo de óleo da transmissão a cada 1000km</t>
        </r>
      </text>
    </comment>
    <comment ref="D138" authorId="0">
      <text>
        <r>
          <rPr>
            <sz val="9"/>
            <color indexed="81"/>
            <rFont val="Tahoma"/>
            <family val="2"/>
          </rPr>
          <t xml:space="preserve">Informar o preço unitário do litro do óleo da transmissão
</t>
        </r>
      </text>
    </comment>
    <comment ref="C142" authorId="0">
      <text>
        <r>
          <rPr>
            <sz val="9"/>
            <color indexed="81"/>
            <rFont val="Tahoma"/>
            <family val="2"/>
          </rPr>
          <t>Informar o consumo de óleo hidráulico a cada 1000km</t>
        </r>
      </text>
    </comment>
    <comment ref="D142" authorId="0">
      <text>
        <r>
          <rPr>
            <sz val="9"/>
            <color indexed="81"/>
            <rFont val="Tahoma"/>
            <family val="2"/>
          </rPr>
          <t xml:space="preserve">Informar o preço unitário do litro do óleo hidráulico
</t>
        </r>
      </text>
    </comment>
    <comment ref="C144" authorId="0">
      <text>
        <r>
          <rPr>
            <sz val="9"/>
            <color indexed="81"/>
            <rFont val="Tahoma"/>
            <family val="2"/>
          </rPr>
          <t>Informar o consumo de graxa a cada 1000km</t>
        </r>
      </text>
    </comment>
    <comment ref="D144" authorId="0">
      <text>
        <r>
          <rPr>
            <sz val="9"/>
            <color indexed="81"/>
            <rFont val="Tahoma"/>
            <family val="2"/>
          </rPr>
          <t xml:space="preserve">Informar o preço unitário do litro da graxa
</t>
        </r>
      </text>
    </comment>
    <comment ref="D152" authorId="0">
      <text>
        <r>
          <rPr>
            <sz val="9"/>
            <color indexed="81"/>
            <rFont val="Tahoma"/>
            <family val="2"/>
          </rPr>
          <t xml:space="preserve">Informar o custo de manutenção em R$/km rodado
</t>
        </r>
      </text>
    </comment>
    <comment ref="C158" authorId="0">
      <text>
        <r>
          <rPr>
            <sz val="9"/>
            <color indexed="81"/>
            <rFont val="Tahoma"/>
            <family val="2"/>
          </rPr>
          <t>Informar a quantidade de pneus novos de 1 caminhão</t>
        </r>
      </text>
    </comment>
    <comment ref="D158" authorId="0">
      <text>
        <r>
          <rPr>
            <sz val="9"/>
            <color indexed="81"/>
            <rFont val="Tahoma"/>
            <family val="2"/>
          </rPr>
          <t xml:space="preserve">Informar o preço unitário de cada pneu
</t>
        </r>
      </text>
    </comment>
    <comment ref="C159" authorId="0">
      <text>
        <r>
          <rPr>
            <sz val="9"/>
            <color indexed="81"/>
            <rFont val="Tahoma"/>
            <family val="2"/>
          </rPr>
          <t>Informar o número de recapagens por pneu</t>
        </r>
      </text>
    </comment>
    <comment ref="D160" authorId="0">
      <text>
        <r>
          <rPr>
            <sz val="9"/>
            <color indexed="81"/>
            <rFont val="Tahoma"/>
            <family val="2"/>
          </rPr>
          <t xml:space="preserve">Informar o preço unitário de cada recapagem
</t>
        </r>
      </text>
    </comment>
    <comment ref="C161" authorId="0">
      <text>
        <r>
          <rPr>
            <sz val="9"/>
            <color indexed="81"/>
            <rFont val="Tahoma"/>
            <family val="2"/>
          </rPr>
          <t xml:space="preserve">Informar a durabilidade média dos pneus considerando as recapagens, em km
</t>
        </r>
      </text>
    </comment>
    <comment ref="C185" authorId="0">
      <text>
        <r>
          <rPr>
            <sz val="9"/>
            <color indexed="81"/>
            <rFont val="Tahoma"/>
            <family val="2"/>
          </rPr>
          <t>Preencher a aba 4.BDI</t>
        </r>
      </text>
    </comment>
  </commentList>
</comments>
</file>

<file path=xl/comments3.xml><?xml version="1.0" encoding="utf-8"?>
<comments xmlns="http://schemas.openxmlformats.org/spreadsheetml/2006/main">
  <authors>
    <author>Clauber Bridi</author>
  </authors>
  <commentList>
    <comment ref="C13" authorId="0">
      <text>
        <r>
          <rPr>
            <b/>
            <sz val="9"/>
            <color indexed="81"/>
            <rFont val="Tahoma"/>
            <family val="2"/>
          </rPr>
          <t>Informar o % de Administração Central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4" authorId="0">
      <text>
        <r>
          <rPr>
            <b/>
            <sz val="9"/>
            <color indexed="81"/>
            <rFont val="Tahoma"/>
            <family val="2"/>
          </rPr>
          <t>Informar o % de Seguros, Riscos e Garantia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5" authorId="0">
      <text>
        <r>
          <rPr>
            <b/>
            <sz val="9"/>
            <color indexed="81"/>
            <rFont val="Tahoma"/>
            <family val="2"/>
          </rPr>
          <t>Informar o % de Lucro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6" authorId="0">
      <text>
        <r>
          <rPr>
            <b/>
            <sz val="9"/>
            <color indexed="81"/>
            <rFont val="Tahoma"/>
            <family val="2"/>
          </rPr>
          <t>Informar o valor anual da taxa financeira, em percentual. Admite-se utilizar a SELIC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Informar o percentual de ISS, de acordo com a legislação tributária do município onde serão prestados os serviços. De 2% até o limite de 5%.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Informar a média de dias úteis entre data de pagamento prevista no contrato e a data final do período de adimplemento da parcela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8" authorId="0">
      <text>
        <r>
          <rPr>
            <b/>
            <sz val="9"/>
            <color indexed="81"/>
            <rFont val="Tahoma"/>
            <family val="2"/>
          </rPr>
          <t xml:space="preserve">Informar o valor estimado de PIS/COFINS. </t>
        </r>
        <r>
          <rPr>
            <sz val="9"/>
            <color indexed="81"/>
            <rFont val="Tahoma"/>
            <family val="2"/>
          </rPr>
          <t xml:space="preserve">
1. Adotar 0,65% PIS + 3% COFINS quando o valor anual estimado do contrato for inferior ao limite para tributação pelo regime de incidência não-cumulativa (lucro presumido);
2. Adotar 1,65% PIS + 7,6% COFINS quando o valor anual estimado do contrato for superior ao limite para tributação pelo regime de incidência não-cumulativa (lucro real);</t>
        </r>
      </text>
    </comment>
  </commentList>
</comments>
</file>

<file path=xl/comments4.xml><?xml version="1.0" encoding="utf-8"?>
<comments xmlns="http://schemas.openxmlformats.org/spreadsheetml/2006/main">
  <authors>
    <author>Clauber Bridi</author>
  </authors>
  <commentList>
    <comment ref="C13" authorId="0">
      <text>
        <r>
          <rPr>
            <b/>
            <sz val="9"/>
            <color indexed="81"/>
            <rFont val="Tahoma"/>
            <family val="2"/>
          </rPr>
          <t>Informar o % de Administração Central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4" authorId="0">
      <text>
        <r>
          <rPr>
            <b/>
            <sz val="9"/>
            <color indexed="81"/>
            <rFont val="Tahoma"/>
            <family val="2"/>
          </rPr>
          <t>Informar o % de Seguros, Riscos e Garantia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5" authorId="0">
      <text>
        <r>
          <rPr>
            <b/>
            <sz val="9"/>
            <color indexed="81"/>
            <rFont val="Tahoma"/>
            <family val="2"/>
          </rPr>
          <t>Informar o % de Lucro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6" authorId="0">
      <text>
        <r>
          <rPr>
            <b/>
            <sz val="9"/>
            <color indexed="81"/>
            <rFont val="Tahoma"/>
            <family val="2"/>
          </rPr>
          <t>Informar o valor anual da taxa financeira, em percentual. Admite-se utilizar a SELIC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Informar o percentual de ISS, de acordo com a legislação tributária do município onde serão prestados os serviços. De 2% até o limite de 5%.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Informar a média de dias úteis entre data de pagamento prevista no contrato e a data final do período de adimplemento da parcela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8" authorId="0">
      <text>
        <r>
          <rPr>
            <b/>
            <sz val="9"/>
            <color indexed="81"/>
            <rFont val="Tahoma"/>
            <family val="2"/>
          </rPr>
          <t xml:space="preserve">Informar o valor estimado de PIS/COFINS. </t>
        </r>
        <r>
          <rPr>
            <sz val="9"/>
            <color indexed="81"/>
            <rFont val="Tahoma"/>
            <family val="2"/>
          </rPr>
          <t xml:space="preserve">
1. Adotar 0,65% PIS + 3% COFINS quando o valor anual estimado do contrato for inferior ao limite para tributação pelo regime de incidência não-cumulativa (lucro presumido);
2. Adotar 1,65% PIS + 7,6% COFINS quando o valor anual estimado do contrato for superior ao limite para tributação pelo regime de incidência não-cumulativa (lucro real);</t>
        </r>
      </text>
    </comment>
  </commentList>
</comments>
</file>

<file path=xl/sharedStrings.xml><?xml version="1.0" encoding="utf-8"?>
<sst xmlns="http://schemas.openxmlformats.org/spreadsheetml/2006/main" count="796" uniqueCount="278">
  <si>
    <t>Adicional de Insalubridade</t>
  </si>
  <si>
    <t>%</t>
  </si>
  <si>
    <t>Soma</t>
  </si>
  <si>
    <t>Encargos Sociais</t>
  </si>
  <si>
    <t>Total do Efetivo</t>
  </si>
  <si>
    <t>homem</t>
  </si>
  <si>
    <t>mês</t>
  </si>
  <si>
    <t>unidade</t>
  </si>
  <si>
    <t>IPVA</t>
  </si>
  <si>
    <t>Seguro contra terceiros</t>
  </si>
  <si>
    <t>Impostos e seguros mensais</t>
  </si>
  <si>
    <t>Custo de óleo diesel / km rodado</t>
  </si>
  <si>
    <t>km/l</t>
  </si>
  <si>
    <t>Custo mensal com óleo diesel</t>
  </si>
  <si>
    <t>km</t>
  </si>
  <si>
    <t>l/1.000 km</t>
  </si>
  <si>
    <t>Custo mensal com óleo do motor</t>
  </si>
  <si>
    <t>Custo mensal com óleo da transmissão</t>
  </si>
  <si>
    <t>Custo mensal com óleo hidráulico</t>
  </si>
  <si>
    <t>Custo de graxa /1.000 km rodados</t>
  </si>
  <si>
    <t>kg/1.000 km</t>
  </si>
  <si>
    <t>Custo mensal com graxa</t>
  </si>
  <si>
    <t>km/jogo</t>
  </si>
  <si>
    <t>Pá de Concha</t>
  </si>
  <si>
    <t>Vassoura</t>
  </si>
  <si>
    <t>Calça</t>
  </si>
  <si>
    <t>Camiseta</t>
  </si>
  <si>
    <t>Boné</t>
  </si>
  <si>
    <t>Luva de proteção</t>
  </si>
  <si>
    <t>R$</t>
  </si>
  <si>
    <t>Benefícios e despesas indiretas</t>
  </si>
  <si>
    <t>Custo (R$/mês)</t>
  </si>
  <si>
    <t>Mão-de-obra</t>
  </si>
  <si>
    <t>Quantidade</t>
  </si>
  <si>
    <t>INSS</t>
  </si>
  <si>
    <t>FGTS</t>
  </si>
  <si>
    <t>Planilha de Composição de Custos</t>
  </si>
  <si>
    <t>Motorista</t>
  </si>
  <si>
    <t>2. Uniformes e Equipamentos de Proteção Individual</t>
  </si>
  <si>
    <t>3.1.1. Depreciação</t>
  </si>
  <si>
    <t>1. Mão-de-obra</t>
  </si>
  <si>
    <t>par</t>
  </si>
  <si>
    <t>frasco 120g</t>
  </si>
  <si>
    <t>Depreciação mensal veículos coletores</t>
  </si>
  <si>
    <t>3.1.3. Impostos e Seguros</t>
  </si>
  <si>
    <t>3.1.4. Consumos</t>
  </si>
  <si>
    <t>3.1.5. Manutenção</t>
  </si>
  <si>
    <t>3. Veículos e Equipamentos</t>
  </si>
  <si>
    <t>Custo mensal com pneus</t>
  </si>
  <si>
    <t>Veículos e Equipamentos</t>
  </si>
  <si>
    <t>cj</t>
  </si>
  <si>
    <t>Total de mão-de-obra (postos de trabalho)</t>
  </si>
  <si>
    <t>3.1.6. Pneus</t>
  </si>
  <si>
    <t>Protetor solar FPS 30</t>
  </si>
  <si>
    <t>Discriminação</t>
  </si>
  <si>
    <t>Unidade</t>
  </si>
  <si>
    <t>Subtotal</t>
  </si>
  <si>
    <r>
      <t xml:space="preserve">Total </t>
    </r>
    <r>
      <rPr>
        <b/>
        <u/>
        <sz val="9"/>
        <rFont val="Arial"/>
        <family val="2"/>
      </rPr>
      <t>(R$)</t>
    </r>
  </si>
  <si>
    <t>Capa de chuva amarela com reflexivo</t>
  </si>
  <si>
    <t>Custo de recapagem</t>
  </si>
  <si>
    <t>Recipiente térmico para água (5L)</t>
  </si>
  <si>
    <t>Total por Coletor</t>
  </si>
  <si>
    <t>4. Ferramentas e Materiais de Consumo</t>
  </si>
  <si>
    <t>Administração Central</t>
  </si>
  <si>
    <t>AC</t>
  </si>
  <si>
    <t>Seguros/Riscos/Garantias</t>
  </si>
  <si>
    <t>SRG</t>
  </si>
  <si>
    <t>Lucro</t>
  </si>
  <si>
    <t>L</t>
  </si>
  <si>
    <t>Despesas Financeiras</t>
  </si>
  <si>
    <t>DF</t>
  </si>
  <si>
    <t>Tributos - ISS</t>
  </si>
  <si>
    <t>T</t>
  </si>
  <si>
    <t>Tributos - PIS/COFINS</t>
  </si>
  <si>
    <t>Fórmula para o cálculo do BDI:</t>
  </si>
  <si>
    <t>{[(1+AC+SRG) x (1+L) x (1+DF)] / (1-T)} -1</t>
  </si>
  <si>
    <t>Resultado do cálculo do BDI:</t>
  </si>
  <si>
    <t>Custo Mensal com Mão-de-obra (R$/mês)</t>
  </si>
  <si>
    <t>Meia de algodão com cano alto</t>
  </si>
  <si>
    <t>Quantitativos</t>
  </si>
  <si>
    <t>1.1. Coletor Turno Dia</t>
  </si>
  <si>
    <t>Vida útil do chassis</t>
  </si>
  <si>
    <t>anos</t>
  </si>
  <si>
    <t>Vida útil do compactador</t>
  </si>
  <si>
    <t>Depreciação do compactador</t>
  </si>
  <si>
    <t>Depreciação do chassis</t>
  </si>
  <si>
    <t>Custo de aquisição do compactador</t>
  </si>
  <si>
    <t>Custo de aquisição do chassis</t>
  </si>
  <si>
    <t>Depreciação mensal do compactador</t>
  </si>
  <si>
    <t>i = taxa de juros do mercado (sugere-se adotar a taxa SELIC)</t>
  </si>
  <si>
    <t>n = vida útil do bem em anos</t>
  </si>
  <si>
    <t>Custo do chassis</t>
  </si>
  <si>
    <t>Custo do compactador</t>
  </si>
  <si>
    <t>3.1.2. Remuneração do Capital</t>
  </si>
  <si>
    <t>Im = investimento médio</t>
  </si>
  <si>
    <t>Remuneração mensal de capital do compactador</t>
  </si>
  <si>
    <t>Investimento médio total do chassis</t>
  </si>
  <si>
    <t>Remuneração mensal de capital do chassis</t>
  </si>
  <si>
    <t>Investimento médio total do compactador</t>
  </si>
  <si>
    <t>Custo de manutenção dos caminhões</t>
  </si>
  <si>
    <t>Quilometragem mensal</t>
  </si>
  <si>
    <t>R$/km rodado</t>
  </si>
  <si>
    <t>Número de recapagens por pneu</t>
  </si>
  <si>
    <t xml:space="preserve"> </t>
  </si>
  <si>
    <t>Código</t>
  </si>
  <si>
    <t>Descrição</t>
  </si>
  <si>
    <t>Valor</t>
  </si>
  <si>
    <t>A1</t>
  </si>
  <si>
    <t>A2</t>
  </si>
  <si>
    <t>SESI</t>
  </si>
  <si>
    <t>A3</t>
  </si>
  <si>
    <t>SENAI</t>
  </si>
  <si>
    <t>A4</t>
  </si>
  <si>
    <t>INCRA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</si>
  <si>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</si>
  <si>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</si>
  <si>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</si>
  <si>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</si>
  <si>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</si>
  <si>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</si>
  <si>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</si>
  <si>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A</t>
  </si>
  <si>
    <t>SOMA GRUPO A</t>
  </si>
  <si>
    <t>B1</t>
  </si>
  <si>
    <t>Férias gozadas</t>
  </si>
  <si>
    <t>B2</t>
  </si>
  <si>
    <t>13º salário</t>
  </si>
  <si>
    <t>B4</t>
  </si>
  <si>
    <t>Licença Paternidade</t>
  </si>
  <si>
    <t>B5</t>
  </si>
  <si>
    <t>Faltas justificadas</t>
  </si>
  <si>
    <t>B6</t>
  </si>
  <si>
    <t>Auxilio acidente de trabalho</t>
  </si>
  <si>
    <t>Auxilio doença</t>
  </si>
  <si>
    <t>B</t>
  </si>
  <si>
    <t>SOMA GRUPO B</t>
  </si>
  <si>
    <t>C1</t>
  </si>
  <si>
    <t>Aviso prévio indenizado</t>
  </si>
  <si>
    <t>C3</t>
  </si>
  <si>
    <t xml:space="preserve">Férias indenizadas </t>
  </si>
  <si>
    <t>C4</t>
  </si>
  <si>
    <t>Férias indenizadas s/ aviso previo inden.</t>
  </si>
  <si>
    <t>C5</t>
  </si>
  <si>
    <t>Depósito rescisão sem justa causa</t>
  </si>
  <si>
    <t>Indenização adicional</t>
  </si>
  <si>
    <t>C</t>
  </si>
  <si>
    <t>SOMA GRUPO C</t>
  </si>
  <si>
    <t>D1</t>
  </si>
  <si>
    <t>Reincidência de Grupo A sobre Grupo B</t>
  </si>
  <si>
    <t>D2</t>
  </si>
  <si>
    <t>Reincidência de Grupo A sobre aviso prévio indenizado</t>
  </si>
  <si>
    <t>D</t>
  </si>
  <si>
    <t>SOMA GRUPO D</t>
  </si>
  <si>
    <t>SOMA (A+B+C+D)</t>
  </si>
  <si>
    <t>1° Quartil</t>
  </si>
  <si>
    <t>Médio</t>
  </si>
  <si>
    <t>3° Quartil</t>
  </si>
  <si>
    <t>DU</t>
  </si>
  <si>
    <t>Licenciamento e Seguro obrigatório</t>
  </si>
  <si>
    <t>Fator de utilização</t>
  </si>
  <si>
    <t>Fator de utilização (FU)</t>
  </si>
  <si>
    <t>2.1. Uniformes e EPIs para Coletor</t>
  </si>
  <si>
    <t>Custo Mensal com Uniformes e EPIs (R$/mês)</t>
  </si>
  <si>
    <t>Descrição do Item</t>
  </si>
  <si>
    <t>Orçamento Sintético</t>
  </si>
  <si>
    <t>Orientações para preenchimento:</t>
  </si>
  <si>
    <t>2. Preencher somente células em amarelo</t>
  </si>
  <si>
    <t>Idade do veículo (ano)</t>
  </si>
  <si>
    <t>Idade do veículo</t>
  </si>
  <si>
    <t>Idade do compactador</t>
  </si>
  <si>
    <t>Valor do veículo proposto (V0)</t>
  </si>
  <si>
    <t>Valor do compactador proposto (V0)</t>
  </si>
  <si>
    <t>Taxa de juros anual nominal</t>
  </si>
  <si>
    <t>Piso da categoria</t>
  </si>
  <si>
    <t>C2</t>
  </si>
  <si>
    <t>B3</t>
  </si>
  <si>
    <t xml:space="preserve">1. Coleta de Resíduos Sólidos </t>
  </si>
  <si>
    <t>Custo Mensal com Veículos e Equipamentos (R$/mês)</t>
  </si>
  <si>
    <t>Custo Mensal com Ferramentas e Materiais de Consumo (R$/mês)</t>
  </si>
  <si>
    <t>CUSTO TOTAL MENSAL COM DESPESAS OPERACIONAIS (R$/mês)</t>
  </si>
  <si>
    <t>5. Depreciação Referencial TCE/RS (%)</t>
  </si>
  <si>
    <r>
      <t>J</t>
    </r>
    <r>
      <rPr>
        <vertAlign val="subscript"/>
        <sz val="12"/>
        <color indexed="8"/>
        <rFont val="Arial"/>
        <family val="2"/>
      </rPr>
      <t>m</t>
    </r>
    <r>
      <rPr>
        <sz val="12"/>
        <color indexed="8"/>
        <rFont val="Arial"/>
        <family val="2"/>
      </rPr>
      <t xml:space="preserve"> = remuneração de capital mensal</t>
    </r>
  </si>
  <si>
    <r>
      <t>V</t>
    </r>
    <r>
      <rPr>
        <vertAlign val="subscript"/>
        <sz val="12"/>
        <color indexed="8"/>
        <rFont val="Arial"/>
        <family val="2"/>
      </rPr>
      <t>0</t>
    </r>
    <r>
      <rPr>
        <sz val="12"/>
        <color indexed="8"/>
        <rFont val="Arial"/>
        <family val="2"/>
      </rPr>
      <t xml:space="preserve"> = valor inicial do bem</t>
    </r>
  </si>
  <si>
    <r>
      <t>V</t>
    </r>
    <r>
      <rPr>
        <vertAlign val="subscript"/>
        <sz val="12"/>
        <color indexed="8"/>
        <rFont val="Arial"/>
        <family val="2"/>
      </rPr>
      <t>r</t>
    </r>
    <r>
      <rPr>
        <sz val="12"/>
        <color indexed="8"/>
        <rFont val="Arial"/>
        <family val="2"/>
      </rPr>
      <t xml:space="preserve"> = valor residual do bem</t>
    </r>
  </si>
  <si>
    <t>6. Remuneração de Capital</t>
  </si>
  <si>
    <t>Custo unitário</t>
  </si>
  <si>
    <t>Custo de óleo do motor /1.000 km rodados</t>
  </si>
  <si>
    <t>Custo de óleo da transmissão /1.000 km</t>
  </si>
  <si>
    <t>Custo de óleo hidráulico / 1.000 km</t>
  </si>
  <si>
    <t>Referência estudo TCE</t>
  </si>
  <si>
    <t>1. Esta planilha é somente um modelo-base e deve ser ajustada conforme cada caso concreto.</t>
  </si>
  <si>
    <t>Fórmula de cálculo da remuneração de capital:</t>
  </si>
  <si>
    <t>Total por Motorista</t>
  </si>
  <si>
    <t>Durabilidade (meses)</t>
  </si>
  <si>
    <t>Custo com consumos/km rodado</t>
  </si>
  <si>
    <t>Consumo</t>
  </si>
  <si>
    <t>Total por veículo</t>
  </si>
  <si>
    <t>Total da frota</t>
  </si>
  <si>
    <t>i</t>
  </si>
  <si>
    <t>Depreciação Média</t>
  </si>
  <si>
    <t>3.1. Veículo Coletor Compactador 15 m³</t>
  </si>
  <si>
    <t>1.2. Motorista Turno do Dia</t>
  </si>
  <si>
    <t xml:space="preserve">Coletor </t>
  </si>
  <si>
    <t>2.2. Uniformes e EPIs para Motorista</t>
  </si>
  <si>
    <t>Salário</t>
  </si>
  <si>
    <t>Adicional de Insalubridade (sobre salário mín. nacional)</t>
  </si>
  <si>
    <t>Botina de segurança</t>
  </si>
  <si>
    <t xml:space="preserve">Botina de segurança </t>
  </si>
  <si>
    <r>
      <t xml:space="preserve">Custo jg. compl. + </t>
    </r>
    <r>
      <rPr>
        <sz val="10"/>
        <rFont val="Arial"/>
        <family val="2"/>
      </rPr>
      <t xml:space="preserve"> recap./ km rodado</t>
    </r>
  </si>
  <si>
    <t xml:space="preserve">Custo do jogo de pneus </t>
  </si>
  <si>
    <t>Custo Mensal com Destinação Final (R$/mês)</t>
  </si>
  <si>
    <t>5. Monitoramento da Frota</t>
  </si>
  <si>
    <t>Implantação dos equipamentos de monitoramento</t>
  </si>
  <si>
    <t>Custo mensal com implantação</t>
  </si>
  <si>
    <t>Manutenção dos equipamentos de monitoramento</t>
  </si>
  <si>
    <t>Custo mensal com manutenção</t>
  </si>
  <si>
    <t>1. Preencher somente células em amarelo</t>
  </si>
  <si>
    <t>2. As células azuis deverão ter seus valores preenchidos em outra planilha do arquivo.</t>
  </si>
  <si>
    <t>PREFEITURA MUNICIPAL DE COTIPORÃ</t>
  </si>
  <si>
    <t>OBJETO: Prestação de serviços de coleta, transporte e destinação final de resíduos sólidos domiciliares</t>
  </si>
  <si>
    <t>Engª Camila Schmitt Caccia</t>
  </si>
  <si>
    <t>CREA RS 190280</t>
  </si>
  <si>
    <t>2. Transporte dos Resíduos ao Destino Final</t>
  </si>
  <si>
    <t>1.1. Motorista Turno do Dia</t>
  </si>
  <si>
    <t>2.1. Uniformes e EPIs para Motorista</t>
  </si>
  <si>
    <t>DATA: outubro/2024</t>
  </si>
  <si>
    <t xml:space="preserve">1. Destinação final </t>
  </si>
  <si>
    <t xml:space="preserve">Destinação Final </t>
  </si>
  <si>
    <t xml:space="preserve">Ton. </t>
  </si>
  <si>
    <t>2. Benefícios e Despesas Indiretas - BDI</t>
  </si>
  <si>
    <t>CUSTO MENSAL COM BDI (R$/mês)</t>
  </si>
  <si>
    <t xml:space="preserve">3. Destino Final </t>
  </si>
  <si>
    <t>6. Benefícios e Despesas Indiretas - BDI</t>
  </si>
  <si>
    <t>1.4. Vale Transporte</t>
  </si>
  <si>
    <t>Vale Transporte</t>
  </si>
  <si>
    <t>Dias Trabalhados por mês</t>
  </si>
  <si>
    <t>dia</t>
  </si>
  <si>
    <t>Coletor</t>
  </si>
  <si>
    <t>vale</t>
  </si>
  <si>
    <t xml:space="preserve">Motorista carro de apoio </t>
  </si>
  <si>
    <t>Fator de util.</t>
  </si>
  <si>
    <t xml:space="preserve">1.5. Plano de Benefício Social  </t>
  </si>
  <si>
    <t xml:space="preserve">1.6. Auxílio Alimentação e Abono Indenizatório </t>
  </si>
  <si>
    <t xml:space="preserve">Motorista Abono Indenizatório </t>
  </si>
  <si>
    <t xml:space="preserve">Mês </t>
  </si>
  <si>
    <t>Motorista Auxílio Alimentação (Cesta básica)</t>
  </si>
  <si>
    <t>1.3. Auxílio Refeição</t>
  </si>
  <si>
    <t xml:space="preserve">Coletor - Plano de Benefício Social </t>
  </si>
  <si>
    <t>Jaqueta com reflexivo (NBR 15.292)</t>
  </si>
  <si>
    <t>Camiseta manga curta com reflexivo</t>
  </si>
  <si>
    <t>Camiseta manga longa com reflexivo</t>
  </si>
  <si>
    <t>Jaquetacom reflexivo (NBR 15.292)</t>
  </si>
  <si>
    <t>Bermuda</t>
  </si>
  <si>
    <t>Custo de Arla / 1.000 km</t>
  </si>
  <si>
    <t>Custo mensal com Arla</t>
  </si>
  <si>
    <t xml:space="preserve">5. Administração Local </t>
  </si>
  <si>
    <t xml:space="preserve">Lavagem dos caminhões compactadores </t>
  </si>
  <si>
    <t>Publicidade (adesivos equipamentos e veículos)</t>
  </si>
  <si>
    <t>Km</t>
  </si>
  <si>
    <t>Custo mensal com veículo de apoio 15km semana</t>
  </si>
  <si>
    <t>6. Monitoramento da Frota</t>
  </si>
  <si>
    <t>PREÇO MENSAL TOTAL (R$/mês) - COLETA</t>
  </si>
  <si>
    <t>1.2. Auxílio Refeição</t>
  </si>
  <si>
    <t xml:space="preserve">1.3. Auxílio Alimentação e Abono Indenizatório </t>
  </si>
  <si>
    <t>PREÇO MENSAL TOTAL (R$/mês) - TRANSPORTE</t>
  </si>
  <si>
    <t>PREÇO MENSAL TOTAL (R$/mês) - DESTINAÇÃO FINAL</t>
  </si>
  <si>
    <t>7. Benefícios e Despesas Indiretas - BDI</t>
  </si>
  <si>
    <t>PREÇO TOTAL MENSAL - COLETA</t>
  </si>
  <si>
    <t>PREÇO TOTAL MENSAL - TRANSPORTE</t>
  </si>
  <si>
    <t>PREÇO TOTAL MENSAL- DESTINO FINAL</t>
  </si>
  <si>
    <t xml:space="preserve">4. Composição dos Encargos Sociais </t>
  </si>
  <si>
    <t>5. Composição do BDI - Benefícios e Despesas Indiretas</t>
  </si>
  <si>
    <t>6. Composição do BDI - Benefícios e Despesas Indiretas</t>
  </si>
  <si>
    <t xml:space="preserve"> (DESTINO FINAL)</t>
  </si>
  <si>
    <t>(COLETA E TRANSPORTE)</t>
  </si>
  <si>
    <t xml:space="preserve">RESÍDUOS ORGÂNICOS E SELETIVOS DOMICILIARES
</t>
  </si>
  <si>
    <t xml:space="preserve">TOTAL </t>
  </si>
  <si>
    <t xml:space="preserve">COLETA, TRANSPORTE E DESTINO FINAL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</si>
</sst>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&quot;R$ &quot;#,##0.00_);\(&quot;R$ &quot;#,##0.00\)"/>
    <numFmt numFmtId="166" formatCode="_(* #,##0.00_);_(* \(#,##0.00\);_(* &quot;-&quot;??_);_(@_)"/>
    <numFmt numFmtId="167" formatCode="_(* #,##0_);_(* \(#,##0\);_(* &quot;-&quot;??_);_(@_)"/>
    <numFmt numFmtId="168" formatCode="_(* #,##0.000_);_(* \(#,##0.000\);_(* &quot;-&quot;??_);_(@_)"/>
    <numFmt numFmtId="169" formatCode="&quot;R$ &quot;#,##0.00"/>
    <numFmt numFmtId="170" formatCode="_(* #,##0.0000_);_(* \(#,##0.0000\);_(* &quot;-&quot;??_);_(@_)"/>
  </numFmts>
  <fonts count="3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name val="Arial"/>
      <family val="2"/>
    </font>
    <font>
      <sz val="11"/>
      <color rgb="FF000000"/>
      <name val="Arial"/>
      <family val="2"/>
    </font>
    <font>
      <sz val="12"/>
      <color theme="1"/>
      <name val="Arial"/>
      <family val="2"/>
    </font>
    <font>
      <vertAlign val="subscript"/>
      <sz val="12"/>
      <color indexed="8"/>
      <name val="Arial"/>
      <family val="2"/>
    </font>
    <font>
      <sz val="12"/>
      <color indexed="8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sz val="13"/>
      <color theme="1"/>
      <name val="Arial"/>
      <family val="2"/>
    </font>
    <font>
      <sz val="10"/>
      <color theme="1"/>
      <name val="Arial"/>
      <family val="2"/>
    </font>
    <font>
      <b/>
      <sz val="11"/>
      <color rgb="FF000000"/>
      <name val="Verdana"/>
      <family val="2"/>
    </font>
    <font>
      <sz val="10"/>
      <name val="Arial"/>
    </font>
    <font>
      <sz val="9"/>
      <name val="Arial"/>
      <family val="2"/>
    </font>
    <font>
      <b/>
      <sz val="12"/>
      <color theme="1"/>
      <name val="Arial"/>
      <family val="2"/>
    </font>
    <font>
      <u/>
      <sz val="10"/>
      <color rgb="FF0070C0"/>
      <name val="Arial"/>
      <family val="2"/>
    </font>
    <font>
      <b/>
      <sz val="13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1" fillId="0" borderId="0"/>
    <xf numFmtId="44" fontId="25" fillId="0" borderId="0" applyFont="0" applyFill="0" applyBorder="0" applyAlignment="0" applyProtection="0"/>
  </cellStyleXfs>
  <cellXfs count="471">
    <xf numFmtId="0" fontId="0" fillId="0" borderId="0" xfId="0"/>
    <xf numFmtId="0" fontId="6" fillId="0" borderId="0" xfId="0" applyFont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166" fontId="0" fillId="0" borderId="0" xfId="3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6" fontId="6" fillId="0" borderId="0" xfId="3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166" fontId="6" fillId="0" borderId="2" xfId="3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6" fontId="6" fillId="0" borderId="1" xfId="3" applyFont="1" applyBorder="1" applyAlignment="1">
      <alignment horizontal="center" vertical="center"/>
    </xf>
    <xf numFmtId="166" fontId="3" fillId="2" borderId="4" xfId="3" applyFont="1" applyFill="1" applyBorder="1" applyAlignment="1">
      <alignment horizontal="center" vertical="center"/>
    </xf>
    <xf numFmtId="166" fontId="3" fillId="2" borderId="4" xfId="3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66" fontId="3" fillId="0" borderId="6" xfId="3" applyFont="1" applyBorder="1" applyAlignment="1">
      <alignment vertical="center"/>
    </xf>
    <xf numFmtId="166" fontId="3" fillId="0" borderId="7" xfId="3" applyFont="1" applyBorder="1" applyAlignment="1">
      <alignment vertical="center"/>
    </xf>
    <xf numFmtId="0" fontId="6" fillId="0" borderId="6" xfId="0" applyFont="1" applyBorder="1" applyAlignment="1">
      <alignment vertical="center"/>
    </xf>
    <xf numFmtId="166" fontId="6" fillId="0" borderId="6" xfId="3" applyFont="1" applyBorder="1" applyAlignment="1">
      <alignment vertical="center"/>
    </xf>
    <xf numFmtId="166" fontId="6" fillId="0" borderId="7" xfId="3" applyFont="1" applyBorder="1" applyAlignment="1">
      <alignment vertical="center"/>
    </xf>
    <xf numFmtId="166" fontId="3" fillId="0" borderId="0" xfId="3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66" fontId="3" fillId="0" borderId="0" xfId="3" applyFont="1" applyBorder="1" applyAlignment="1">
      <alignment vertical="center"/>
    </xf>
    <xf numFmtId="166" fontId="5" fillId="0" borderId="0" xfId="3" applyFont="1" applyAlignment="1">
      <alignment vertical="center"/>
    </xf>
    <xf numFmtId="166" fontId="0" fillId="0" borderId="9" xfId="3" applyFont="1" applyBorder="1" applyAlignment="1">
      <alignment vertical="center"/>
    </xf>
    <xf numFmtId="166" fontId="3" fillId="0" borderId="10" xfId="3" applyFont="1" applyBorder="1" applyAlignment="1">
      <alignment horizontal="center" vertical="center"/>
    </xf>
    <xf numFmtId="166" fontId="3" fillId="0" borderId="5" xfId="3" applyFont="1" applyBorder="1" applyAlignment="1">
      <alignment horizontal="left" vertical="center"/>
    </xf>
    <xf numFmtId="4" fontId="3" fillId="0" borderId="6" xfId="0" applyNumberFormat="1" applyFont="1" applyBorder="1" applyAlignment="1">
      <alignment horizontal="centerContinuous" vertical="center"/>
    </xf>
    <xf numFmtId="166" fontId="3" fillId="0" borderId="0" xfId="3" applyFont="1" applyAlignment="1">
      <alignment vertical="center"/>
    </xf>
    <xf numFmtId="166" fontId="0" fillId="0" borderId="8" xfId="0" applyNumberFormat="1" applyBorder="1" applyAlignment="1">
      <alignment vertical="center"/>
    </xf>
    <xf numFmtId="4" fontId="0" fillId="0" borderId="8" xfId="0" applyNumberFormat="1" applyBorder="1" applyAlignment="1">
      <alignment horizontal="centerContinuous" vertical="center"/>
    </xf>
    <xf numFmtId="166" fontId="0" fillId="0" borderId="8" xfId="3" applyFont="1" applyBorder="1" applyAlignment="1">
      <alignment vertical="center"/>
    </xf>
    <xf numFmtId="166" fontId="3" fillId="0" borderId="11" xfId="3" applyFont="1" applyBorder="1" applyAlignment="1">
      <alignment horizontal="right" vertical="center"/>
    </xf>
    <xf numFmtId="166" fontId="0" fillId="0" borderId="12" xfId="3" applyFont="1" applyBorder="1" applyAlignment="1">
      <alignment vertical="center"/>
    </xf>
    <xf numFmtId="166" fontId="6" fillId="0" borderId="1" xfId="3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66" fontId="4" fillId="0" borderId="0" xfId="3" applyFont="1" applyBorder="1" applyAlignment="1">
      <alignment vertical="center"/>
    </xf>
    <xf numFmtId="10" fontId="0" fillId="0" borderId="13" xfId="2" applyNumberFormat="1" applyFont="1" applyBorder="1" applyAlignment="1">
      <alignment vertical="center"/>
    </xf>
    <xf numFmtId="166" fontId="6" fillId="0" borderId="0" xfId="3" applyFont="1" applyBorder="1" applyAlignment="1">
      <alignment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166" fontId="11" fillId="2" borderId="15" xfId="3" applyFont="1" applyFill="1" applyBorder="1" applyAlignment="1">
      <alignment horizontal="center" vertical="center"/>
    </xf>
    <xf numFmtId="166" fontId="11" fillId="2" borderId="16" xfId="3" applyFont="1" applyFill="1" applyBorder="1" applyAlignment="1">
      <alignment horizontal="center" vertical="center"/>
    </xf>
    <xf numFmtId="166" fontId="3" fillId="0" borderId="17" xfId="3" applyFont="1" applyBorder="1" applyAlignment="1">
      <alignment horizontal="center" vertical="center"/>
    </xf>
    <xf numFmtId="166" fontId="1" fillId="0" borderId="12" xfId="3" applyFont="1" applyBorder="1" applyAlignment="1">
      <alignment horizontal="left" vertical="center"/>
    </xf>
    <xf numFmtId="166" fontId="6" fillId="0" borderId="8" xfId="3" applyFont="1" applyBorder="1" applyAlignment="1">
      <alignment vertical="center"/>
    </xf>
    <xf numFmtId="166" fontId="6" fillId="0" borderId="12" xfId="3" applyFont="1" applyBorder="1" applyAlignment="1">
      <alignment vertical="center"/>
    </xf>
    <xf numFmtId="167" fontId="6" fillId="0" borderId="0" xfId="3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" fontId="6" fillId="0" borderId="18" xfId="3" applyNumberFormat="1" applyFont="1" applyBorder="1" applyAlignment="1">
      <alignment horizontal="center" vertical="center"/>
    </xf>
    <xf numFmtId="166" fontId="3" fillId="0" borderId="26" xfId="3" applyFont="1" applyBorder="1" applyAlignment="1">
      <alignment vertical="center"/>
    </xf>
    <xf numFmtId="4" fontId="3" fillId="0" borderId="27" xfId="0" applyNumberFormat="1" applyFont="1" applyBorder="1" applyAlignment="1">
      <alignment vertical="center"/>
    </xf>
    <xf numFmtId="166" fontId="6" fillId="0" borderId="17" xfId="3" applyFont="1" applyBorder="1" applyAlignment="1">
      <alignment vertical="center"/>
    </xf>
    <xf numFmtId="166" fontId="6" fillId="0" borderId="9" xfId="3" applyFont="1" applyBorder="1" applyAlignment="1">
      <alignment vertical="center"/>
    </xf>
    <xf numFmtId="0" fontId="0" fillId="0" borderId="9" xfId="0" applyBorder="1" applyAlignment="1">
      <alignment vertical="center"/>
    </xf>
    <xf numFmtId="1" fontId="6" fillId="0" borderId="10" xfId="3" applyNumberFormat="1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27" xfId="0" applyBorder="1" applyAlignment="1">
      <alignment vertical="center"/>
    </xf>
    <xf numFmtId="1" fontId="3" fillId="0" borderId="29" xfId="3" applyNumberFormat="1" applyFont="1" applyBorder="1" applyAlignment="1">
      <alignment horizontal="center" vertical="center"/>
    </xf>
    <xf numFmtId="166" fontId="6" fillId="0" borderId="1" xfId="3" applyFont="1" applyFill="1" applyBorder="1" applyAlignment="1">
      <alignment horizontal="center" vertical="center"/>
    </xf>
    <xf numFmtId="166" fontId="10" fillId="0" borderId="0" xfId="3" applyFont="1" applyAlignment="1">
      <alignment vertical="center"/>
    </xf>
    <xf numFmtId="43" fontId="6" fillId="0" borderId="0" xfId="0" applyNumberFormat="1" applyFont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166" fontId="6" fillId="3" borderId="2" xfId="3" applyFont="1" applyFill="1" applyBorder="1" applyAlignment="1">
      <alignment horizontal="center" vertical="center"/>
    </xf>
    <xf numFmtId="166" fontId="6" fillId="3" borderId="1" xfId="3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/>
    </xf>
    <xf numFmtId="167" fontId="6" fillId="0" borderId="1" xfId="3" applyNumberFormat="1" applyFont="1" applyBorder="1" applyAlignment="1">
      <alignment horizontal="center" vertical="center"/>
    </xf>
    <xf numFmtId="166" fontId="6" fillId="3" borderId="1" xfId="3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" fontId="6" fillId="3" borderId="2" xfId="0" applyNumberFormat="1" applyFont="1" applyFill="1" applyBorder="1" applyAlignment="1">
      <alignment horizontal="center" vertical="center"/>
    </xf>
    <xf numFmtId="168" fontId="6" fillId="3" borderId="2" xfId="3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13" fontId="6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6" fontId="3" fillId="0" borderId="1" xfId="3" applyFont="1" applyBorder="1" applyAlignment="1">
      <alignment horizontal="center" vertical="center"/>
    </xf>
    <xf numFmtId="166" fontId="6" fillId="0" borderId="2" xfId="3" applyFont="1" applyFill="1" applyBorder="1" applyAlignment="1">
      <alignment horizontal="center" vertical="center"/>
    </xf>
    <xf numFmtId="0" fontId="3" fillId="0" borderId="0" xfId="0" applyFont="1"/>
    <xf numFmtId="166" fontId="6" fillId="0" borderId="0" xfId="3" applyFont="1" applyFill="1" applyAlignment="1">
      <alignment vertical="center"/>
    </xf>
    <xf numFmtId="166" fontId="3" fillId="0" borderId="1" xfId="3" applyFont="1" applyFill="1" applyBorder="1" applyAlignment="1">
      <alignment horizontal="center" vertical="center"/>
    </xf>
    <xf numFmtId="165" fontId="3" fillId="0" borderId="32" xfId="0" applyNumberFormat="1" applyFont="1" applyBorder="1" applyAlignment="1">
      <alignment vertical="center"/>
    </xf>
    <xf numFmtId="166" fontId="3" fillId="0" borderId="33" xfId="3" applyFont="1" applyBorder="1" applyAlignment="1">
      <alignment vertical="center"/>
    </xf>
    <xf numFmtId="166" fontId="3" fillId="0" borderId="3" xfId="3" applyFont="1" applyBorder="1" applyAlignment="1">
      <alignment horizontal="center" vertical="center"/>
    </xf>
    <xf numFmtId="0" fontId="0" fillId="0" borderId="0" xfId="0" applyAlignment="1">
      <alignment horizontal="center"/>
    </xf>
    <xf numFmtId="166" fontId="3" fillId="2" borderId="7" xfId="3" applyFont="1" applyFill="1" applyBorder="1" applyAlignment="1">
      <alignment horizontal="center" vertical="center"/>
    </xf>
    <xf numFmtId="166" fontId="3" fillId="0" borderId="12" xfId="3" applyFont="1" applyBorder="1" applyAlignment="1">
      <alignment vertical="center"/>
    </xf>
    <xf numFmtId="166" fontId="3" fillId="0" borderId="8" xfId="0" applyNumberFormat="1" applyFont="1" applyBorder="1" applyAlignment="1">
      <alignment vertical="center"/>
    </xf>
    <xf numFmtId="166" fontId="3" fillId="0" borderId="8" xfId="3" applyFont="1" applyBorder="1" applyAlignment="1">
      <alignment vertical="center"/>
    </xf>
    <xf numFmtId="10" fontId="3" fillId="0" borderId="13" xfId="2" applyNumberFormat="1" applyFont="1" applyBorder="1" applyAlignment="1">
      <alignment vertical="center"/>
    </xf>
    <xf numFmtId="166" fontId="3" fillId="0" borderId="36" xfId="3" applyFont="1" applyBorder="1" applyAlignment="1">
      <alignment vertical="center"/>
    </xf>
    <xf numFmtId="4" fontId="3" fillId="0" borderId="0" xfId="0" applyNumberFormat="1" applyFont="1" applyBorder="1" applyAlignment="1">
      <alignment vertical="center"/>
    </xf>
    <xf numFmtId="166" fontId="6" fillId="0" borderId="37" xfId="3" applyFont="1" applyBorder="1" applyAlignment="1">
      <alignment vertical="center"/>
    </xf>
    <xf numFmtId="166" fontId="6" fillId="0" borderId="38" xfId="3" applyFont="1" applyBorder="1" applyAlignment="1">
      <alignment vertical="center"/>
    </xf>
    <xf numFmtId="166" fontId="6" fillId="0" borderId="39" xfId="3" applyFont="1" applyBorder="1" applyAlignment="1">
      <alignment vertical="center"/>
    </xf>
    <xf numFmtId="0" fontId="6" fillId="0" borderId="39" xfId="0" applyFont="1" applyBorder="1" applyAlignment="1">
      <alignment vertical="center"/>
    </xf>
    <xf numFmtId="1" fontId="6" fillId="0" borderId="35" xfId="3" applyNumberFormat="1" applyFont="1" applyBorder="1" applyAlignment="1">
      <alignment horizontal="center" vertical="center"/>
    </xf>
    <xf numFmtId="4" fontId="3" fillId="0" borderId="8" xfId="0" applyNumberFormat="1" applyFont="1" applyBorder="1" applyAlignment="1">
      <alignment horizontal="centerContinuous" vertical="center"/>
    </xf>
    <xf numFmtId="0" fontId="1" fillId="0" borderId="0" xfId="0" applyFont="1" applyBorder="1" applyAlignment="1">
      <alignment vertical="center"/>
    </xf>
    <xf numFmtId="4" fontId="0" fillId="0" borderId="0" xfId="0" applyNumberFormat="1" applyBorder="1" applyAlignment="1">
      <alignment vertical="center"/>
    </xf>
    <xf numFmtId="9" fontId="3" fillId="0" borderId="16" xfId="2" applyFont="1" applyBorder="1" applyAlignment="1">
      <alignment vertical="center"/>
    </xf>
    <xf numFmtId="10" fontId="6" fillId="0" borderId="13" xfId="2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166" fontId="6" fillId="0" borderId="1" xfId="0" applyNumberFormat="1" applyFont="1" applyFill="1" applyBorder="1" applyAlignment="1">
      <alignment horizontal="center" vertical="center"/>
    </xf>
    <xf numFmtId="0" fontId="0" fillId="0" borderId="36" xfId="0" applyFill="1" applyBorder="1" applyAlignment="1">
      <alignment vertical="center"/>
    </xf>
    <xf numFmtId="4" fontId="0" fillId="0" borderId="0" xfId="0" applyNumberFormat="1" applyFill="1" applyBorder="1" applyAlignment="1">
      <alignment vertical="center"/>
    </xf>
    <xf numFmtId="166" fontId="0" fillId="0" borderId="0" xfId="3" applyFont="1" applyFill="1" applyBorder="1" applyAlignment="1">
      <alignment vertical="center"/>
    </xf>
    <xf numFmtId="166" fontId="0" fillId="0" borderId="37" xfId="3" applyFont="1" applyFill="1" applyBorder="1" applyAlignment="1">
      <alignment vertical="center"/>
    </xf>
    <xf numFmtId="167" fontId="3" fillId="0" borderId="0" xfId="3" applyNumberFormat="1" applyFont="1" applyBorder="1" applyAlignment="1">
      <alignment horizontal="center" vertical="center"/>
    </xf>
    <xf numFmtId="0" fontId="6" fillId="0" borderId="0" xfId="0" applyFont="1" applyBorder="1"/>
    <xf numFmtId="2" fontId="16" fillId="6" borderId="1" xfId="0" applyNumberFormat="1" applyFont="1" applyFill="1" applyBorder="1" applyAlignment="1">
      <alignment horizontal="right" vertical="center"/>
    </xf>
    <xf numFmtId="0" fontId="16" fillId="0" borderId="21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2" fontId="16" fillId="6" borderId="34" xfId="0" applyNumberFormat="1" applyFont="1" applyFill="1" applyBorder="1" applyAlignment="1">
      <alignment horizontal="right" vertical="center"/>
    </xf>
    <xf numFmtId="0" fontId="16" fillId="0" borderId="21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10" fontId="16" fillId="0" borderId="18" xfId="0" applyNumberFormat="1" applyFont="1" applyBorder="1" applyAlignment="1">
      <alignment horizontal="right" vertical="center"/>
    </xf>
    <xf numFmtId="0" fontId="16" fillId="0" borderId="0" xfId="0" applyFont="1" applyFill="1" applyBorder="1" applyAlignment="1">
      <alignment horizontal="left" vertical="center"/>
    </xf>
    <xf numFmtId="10" fontId="20" fillId="0" borderId="18" xfId="0" applyNumberFormat="1" applyFont="1" applyBorder="1" applyAlignment="1">
      <alignment horizontal="right" vertical="center"/>
    </xf>
    <xf numFmtId="0" fontId="16" fillId="4" borderId="21" xfId="0" applyFont="1" applyFill="1" applyBorder="1" applyAlignment="1">
      <alignment horizontal="left" vertical="center"/>
    </xf>
    <xf numFmtId="10" fontId="20" fillId="4" borderId="18" xfId="0" applyNumberFormat="1" applyFont="1" applyFill="1" applyBorder="1" applyAlignment="1">
      <alignment horizontal="right" vertical="center"/>
    </xf>
    <xf numFmtId="0" fontId="21" fillId="0" borderId="0" xfId="0" applyFont="1" applyFill="1" applyBorder="1" applyAlignment="1">
      <alignment horizontal="left" vertical="center"/>
    </xf>
    <xf numFmtId="10" fontId="6" fillId="0" borderId="0" xfId="0" applyNumberFormat="1" applyFont="1"/>
    <xf numFmtId="9" fontId="16" fillId="0" borderId="0" xfId="2" applyFont="1" applyBorder="1" applyAlignment="1">
      <alignment horizontal="right" vertical="center"/>
    </xf>
    <xf numFmtId="10" fontId="6" fillId="0" borderId="0" xfId="0" applyNumberFormat="1" applyFont="1" applyBorder="1"/>
    <xf numFmtId="0" fontId="21" fillId="0" borderId="0" xfId="0" applyFont="1" applyBorder="1" applyAlignment="1">
      <alignment horizontal="left" vertical="center"/>
    </xf>
    <xf numFmtId="0" fontId="16" fillId="8" borderId="22" xfId="0" applyFont="1" applyFill="1" applyBorder="1" applyAlignment="1">
      <alignment horizontal="left" vertical="center"/>
    </xf>
    <xf numFmtId="10" fontId="20" fillId="8" borderId="35" xfId="0" applyNumberFormat="1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left" vertical="center"/>
    </xf>
    <xf numFmtId="10" fontId="20" fillId="0" borderId="0" xfId="0" applyNumberFormat="1" applyFont="1" applyFill="1" applyBorder="1" applyAlignment="1">
      <alignment horizontal="right" vertical="center"/>
    </xf>
    <xf numFmtId="10" fontId="16" fillId="0" borderId="0" xfId="0" applyNumberFormat="1" applyFont="1" applyBorder="1" applyAlignment="1">
      <alignment horizontal="right" vertical="center"/>
    </xf>
    <xf numFmtId="0" fontId="20" fillId="0" borderId="0" xfId="0" applyFont="1" applyBorder="1" applyAlignment="1">
      <alignment horizontal="left" vertical="center"/>
    </xf>
    <xf numFmtId="10" fontId="20" fillId="0" borderId="0" xfId="0" applyNumberFormat="1" applyFont="1" applyBorder="1" applyAlignment="1">
      <alignment horizontal="right" vertical="center"/>
    </xf>
    <xf numFmtId="0" fontId="22" fillId="0" borderId="0" xfId="0" applyFont="1" applyBorder="1" applyAlignment="1">
      <alignment horizontal="justify" vertical="center"/>
    </xf>
    <xf numFmtId="0" fontId="8" fillId="0" borderId="0" xfId="1" applyFont="1" applyBorder="1" applyAlignment="1" applyProtection="1">
      <alignment horizontal="left" vertical="center"/>
    </xf>
    <xf numFmtId="0" fontId="23" fillId="0" borderId="0" xfId="0" applyFont="1" applyBorder="1"/>
    <xf numFmtId="0" fontId="16" fillId="0" borderId="0" xfId="0" applyFont="1" applyBorder="1" applyAlignment="1">
      <alignment horizontal="right" vertical="center"/>
    </xf>
    <xf numFmtId="0" fontId="8" fillId="0" borderId="0" xfId="1" applyFont="1" applyBorder="1" applyAlignment="1" applyProtection="1">
      <alignment vertical="center"/>
    </xf>
    <xf numFmtId="0" fontId="5" fillId="0" borderId="36" xfId="0" applyFont="1" applyBorder="1"/>
    <xf numFmtId="0" fontId="7" fillId="0" borderId="36" xfId="0" applyFont="1" applyFill="1" applyBorder="1" applyAlignment="1">
      <alignment horizontal="left" vertical="center"/>
    </xf>
    <xf numFmtId="0" fontId="5" fillId="0" borderId="0" xfId="0" applyFont="1" applyBorder="1"/>
    <xf numFmtId="0" fontId="5" fillId="0" borderId="19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horizontal="center" vertical="center"/>
    </xf>
    <xf numFmtId="10" fontId="5" fillId="3" borderId="10" xfId="0" applyNumberFormat="1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left" vertical="center"/>
    </xf>
    <xf numFmtId="10" fontId="5" fillId="3" borderId="18" xfId="0" applyNumberFormat="1" applyFont="1" applyFill="1" applyBorder="1" applyAlignment="1">
      <alignment horizontal="center" vertical="center"/>
    </xf>
    <xf numFmtId="10" fontId="5" fillId="0" borderId="18" xfId="0" applyNumberFormat="1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left" vertical="center"/>
    </xf>
    <xf numFmtId="10" fontId="5" fillId="3" borderId="35" xfId="0" applyNumberFormat="1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vertical="center"/>
    </xf>
    <xf numFmtId="0" fontId="5" fillId="0" borderId="24" xfId="0" applyFont="1" applyFill="1" applyBorder="1" applyAlignment="1">
      <alignment vertical="center"/>
    </xf>
    <xf numFmtId="10" fontId="5" fillId="0" borderId="25" xfId="0" applyNumberFormat="1" applyFont="1" applyFill="1" applyBorder="1" applyAlignment="1">
      <alignment vertical="center"/>
    </xf>
    <xf numFmtId="0" fontId="5" fillId="0" borderId="26" xfId="0" applyFont="1" applyFill="1" applyBorder="1" applyAlignment="1">
      <alignment horizontal="left" vertical="center"/>
    </xf>
    <xf numFmtId="0" fontId="5" fillId="0" borderId="27" xfId="0" applyFont="1" applyFill="1" applyBorder="1" applyAlignment="1">
      <alignment horizontal="left" vertical="center"/>
    </xf>
    <xf numFmtId="0" fontId="5" fillId="0" borderId="28" xfId="0" applyFont="1" applyFill="1" applyBorder="1" applyAlignment="1">
      <alignment vertical="center"/>
    </xf>
    <xf numFmtId="0" fontId="7" fillId="4" borderId="5" xfId="0" applyFont="1" applyFill="1" applyBorder="1" applyAlignment="1">
      <alignment vertical="center" wrapText="1"/>
    </xf>
    <xf numFmtId="0" fontId="5" fillId="4" borderId="6" xfId="0" applyFont="1" applyFill="1" applyBorder="1" applyAlignment="1">
      <alignment vertical="center"/>
    </xf>
    <xf numFmtId="10" fontId="7" fillId="4" borderId="7" xfId="0" applyNumberFormat="1" applyFont="1" applyFill="1" applyBorder="1" applyAlignment="1">
      <alignment horizontal="center" vertical="center" wrapText="1"/>
    </xf>
    <xf numFmtId="0" fontId="6" fillId="0" borderId="45" xfId="0" applyFont="1" applyBorder="1"/>
    <xf numFmtId="0" fontId="17" fillId="0" borderId="45" xfId="0" applyFont="1" applyBorder="1" applyAlignment="1">
      <alignment horizontal="justify"/>
    </xf>
    <xf numFmtId="0" fontId="17" fillId="0" borderId="46" xfId="0" applyFont="1" applyBorder="1" applyAlignment="1">
      <alignment horizontal="justify"/>
    </xf>
    <xf numFmtId="0" fontId="15" fillId="9" borderId="44" xfId="0" applyFont="1" applyFill="1" applyBorder="1" applyAlignment="1">
      <alignment horizontal="center"/>
    </xf>
    <xf numFmtId="1" fontId="6" fillId="0" borderId="0" xfId="3" applyNumberFormat="1" applyFont="1" applyBorder="1" applyAlignment="1">
      <alignment horizontal="center" vertical="center"/>
    </xf>
    <xf numFmtId="169" fontId="3" fillId="0" borderId="1" xfId="0" applyNumberFormat="1" applyFont="1" applyBorder="1" applyAlignment="1">
      <alignment vertical="center"/>
    </xf>
    <xf numFmtId="169" fontId="0" fillId="0" borderId="1" xfId="0" applyNumberFormat="1" applyBorder="1" applyAlignment="1">
      <alignment vertical="center"/>
    </xf>
    <xf numFmtId="169" fontId="3" fillId="0" borderId="34" xfId="0" applyNumberFormat="1" applyFont="1" applyBorder="1" applyAlignment="1">
      <alignment vertical="center"/>
    </xf>
    <xf numFmtId="166" fontId="3" fillId="0" borderId="9" xfId="3" applyFont="1" applyBorder="1" applyAlignment="1">
      <alignment vertical="center"/>
    </xf>
    <xf numFmtId="166" fontId="3" fillId="0" borderId="5" xfId="3" applyFont="1" applyBorder="1" applyAlignment="1">
      <alignment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66" fontId="3" fillId="0" borderId="8" xfId="3" applyFont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 wrapText="1"/>
    </xf>
    <xf numFmtId="168" fontId="6" fillId="0" borderId="1" xfId="3" applyNumberFormat="1" applyFont="1" applyBorder="1" applyAlignment="1">
      <alignment horizontal="center" vertical="center"/>
    </xf>
    <xf numFmtId="167" fontId="3" fillId="0" borderId="1" xfId="3" applyNumberFormat="1" applyFont="1" applyBorder="1" applyAlignment="1">
      <alignment horizontal="center" vertical="center"/>
    </xf>
    <xf numFmtId="168" fontId="3" fillId="0" borderId="1" xfId="3" applyNumberFormat="1" applyFont="1" applyBorder="1" applyAlignment="1">
      <alignment horizontal="center" vertical="center"/>
    </xf>
    <xf numFmtId="168" fontId="6" fillId="0" borderId="2" xfId="3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166" fontId="3" fillId="0" borderId="47" xfId="3" applyFont="1" applyBorder="1" applyAlignment="1">
      <alignment horizontal="center" vertical="center"/>
    </xf>
    <xf numFmtId="166" fontId="3" fillId="0" borderId="47" xfId="3" applyFont="1" applyFill="1" applyBorder="1" applyAlignment="1">
      <alignment horizontal="center" vertical="center"/>
    </xf>
    <xf numFmtId="166" fontId="1" fillId="0" borderId="0" xfId="3" applyFont="1" applyAlignment="1">
      <alignment vertical="center"/>
    </xf>
    <xf numFmtId="3" fontId="6" fillId="0" borderId="1" xfId="0" applyNumberFormat="1" applyFont="1" applyFill="1" applyBorder="1" applyAlignment="1">
      <alignment vertical="center"/>
    </xf>
    <xf numFmtId="170" fontId="6" fillId="0" borderId="0" xfId="3" applyNumberFormat="1" applyFont="1" applyAlignment="1">
      <alignment vertical="center"/>
    </xf>
    <xf numFmtId="4" fontId="0" fillId="0" borderId="0" xfId="0" applyNumberFormat="1"/>
    <xf numFmtId="1" fontId="6" fillId="0" borderId="1" xfId="0" applyNumberFormat="1" applyFont="1" applyFill="1" applyBorder="1" applyAlignment="1">
      <alignment horizontal="center" vertical="center"/>
    </xf>
    <xf numFmtId="4" fontId="24" fillId="0" borderId="0" xfId="0" applyNumberFormat="1" applyFont="1"/>
    <xf numFmtId="2" fontId="6" fillId="5" borderId="1" xfId="3" applyNumberFormat="1" applyFont="1" applyFill="1" applyBorder="1" applyAlignment="1">
      <alignment horizontal="center" vertical="center"/>
    </xf>
    <xf numFmtId="169" fontId="3" fillId="0" borderId="3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0" fontId="0" fillId="0" borderId="0" xfId="2" applyNumberFormat="1" applyFont="1" applyAlignment="1">
      <alignment vertical="center"/>
    </xf>
    <xf numFmtId="10" fontId="3" fillId="0" borderId="0" xfId="2" applyNumberFormat="1" applyFont="1" applyAlignment="1">
      <alignment vertical="center"/>
    </xf>
    <xf numFmtId="2" fontId="6" fillId="0" borderId="2" xfId="3" applyNumberFormat="1" applyFont="1" applyBorder="1" applyAlignment="1">
      <alignment horizontal="center" vertical="center"/>
    </xf>
    <xf numFmtId="3" fontId="6" fillId="0" borderId="2" xfId="3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6" fontId="1" fillId="0" borderId="2" xfId="3" applyFont="1" applyBorder="1" applyAlignment="1">
      <alignment vertical="center"/>
    </xf>
    <xf numFmtId="166" fontId="1" fillId="0" borderId="1" xfId="3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166" fontId="1" fillId="0" borderId="0" xfId="3" applyFont="1" applyBorder="1" applyAlignment="1">
      <alignment vertical="center"/>
    </xf>
    <xf numFmtId="166" fontId="1" fillId="3" borderId="2" xfId="3" applyFont="1" applyFill="1" applyBorder="1" applyAlignment="1">
      <alignment vertical="center"/>
    </xf>
    <xf numFmtId="166" fontId="1" fillId="3" borderId="1" xfId="3" applyFont="1" applyFill="1" applyBorder="1" applyAlignment="1">
      <alignment vertical="center"/>
    </xf>
    <xf numFmtId="10" fontId="6" fillId="5" borderId="1" xfId="2" applyNumberFormat="1" applyFont="1" applyFill="1" applyBorder="1" applyAlignment="1">
      <alignment horizontal="center" vertical="center"/>
    </xf>
    <xf numFmtId="10" fontId="1" fillId="5" borderId="1" xfId="4" applyNumberFormat="1" applyFont="1" applyFill="1" applyBorder="1" applyAlignment="1">
      <alignment horizontal="center" vertical="center"/>
    </xf>
    <xf numFmtId="166" fontId="3" fillId="0" borderId="12" xfId="3" applyFont="1" applyBorder="1" applyAlignment="1">
      <alignment horizontal="left" vertical="center"/>
    </xf>
    <xf numFmtId="9" fontId="5" fillId="0" borderId="21" xfId="2" applyFont="1" applyBorder="1" applyAlignment="1">
      <alignment vertical="center"/>
    </xf>
    <xf numFmtId="9" fontId="5" fillId="0" borderId="1" xfId="2" applyFont="1" applyBorder="1" applyAlignment="1">
      <alignment horizontal="center" vertical="center"/>
    </xf>
    <xf numFmtId="9" fontId="5" fillId="0" borderId="18" xfId="2" applyFont="1" applyBorder="1" applyAlignment="1">
      <alignment vertical="center"/>
    </xf>
    <xf numFmtId="10" fontId="5" fillId="0" borderId="21" xfId="2" applyNumberFormat="1" applyFont="1" applyBorder="1" applyAlignment="1">
      <alignment horizontal="right" vertical="center"/>
    </xf>
    <xf numFmtId="10" fontId="5" fillId="0" borderId="1" xfId="2" applyNumberFormat="1" applyFont="1" applyBorder="1" applyAlignment="1">
      <alignment horizontal="right" vertical="center"/>
    </xf>
    <xf numFmtId="10" fontId="5" fillId="0" borderId="18" xfId="2" applyNumberFormat="1" applyFont="1" applyBorder="1" applyAlignment="1">
      <alignment horizontal="right" vertical="center"/>
    </xf>
    <xf numFmtId="10" fontId="5" fillId="3" borderId="1" xfId="2" applyNumberFormat="1" applyFont="1" applyFill="1" applyBorder="1" applyAlignment="1">
      <alignment horizontal="center" vertical="center"/>
    </xf>
    <xf numFmtId="10" fontId="5" fillId="0" borderId="18" xfId="2" applyNumberFormat="1" applyFont="1" applyBorder="1" applyAlignment="1">
      <alignment vertical="center"/>
    </xf>
    <xf numFmtId="0" fontId="5" fillId="0" borderId="21" xfId="0" applyFont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0" fontId="5" fillId="0" borderId="22" xfId="2" applyNumberFormat="1" applyFont="1" applyBorder="1" applyAlignment="1">
      <alignment horizontal="right" vertical="center"/>
    </xf>
    <xf numFmtId="10" fontId="5" fillId="0" borderId="34" xfId="2" applyNumberFormat="1" applyFont="1" applyBorder="1" applyAlignment="1">
      <alignment horizontal="right" vertical="center"/>
    </xf>
    <xf numFmtId="10" fontId="5" fillId="0" borderId="35" xfId="2" applyNumberFormat="1" applyFont="1" applyBorder="1" applyAlignment="1">
      <alignment horizontal="right" vertical="center"/>
    </xf>
    <xf numFmtId="4" fontId="26" fillId="0" borderId="0" xfId="0" applyNumberFormat="1" applyFont="1" applyBorder="1" applyAlignment="1">
      <alignment vertical="center"/>
    </xf>
    <xf numFmtId="166" fontId="6" fillId="0" borderId="25" xfId="3" applyFont="1" applyBorder="1" applyAlignment="1">
      <alignment vertical="center"/>
    </xf>
    <xf numFmtId="0" fontId="6" fillId="0" borderId="36" xfId="0" applyFont="1" applyBorder="1" applyAlignment="1">
      <alignment vertical="center"/>
    </xf>
    <xf numFmtId="0" fontId="11" fillId="0" borderId="36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26" fillId="0" borderId="36" xfId="0" applyFont="1" applyBorder="1" applyAlignment="1">
      <alignment vertical="center"/>
    </xf>
    <xf numFmtId="4" fontId="0" fillId="0" borderId="37" xfId="0" applyNumberFormat="1" applyBorder="1" applyAlignment="1">
      <alignment vertical="center"/>
    </xf>
    <xf numFmtId="4" fontId="26" fillId="0" borderId="36" xfId="0" applyNumberFormat="1" applyFont="1" applyBorder="1" applyAlignment="1">
      <alignment vertical="center"/>
    </xf>
    <xf numFmtId="4" fontId="0" fillId="0" borderId="27" xfId="0" applyNumberFormat="1" applyBorder="1" applyAlignment="1">
      <alignment vertical="center"/>
    </xf>
    <xf numFmtId="4" fontId="0" fillId="0" borderId="28" xfId="0" applyNumberForma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1" fillId="0" borderId="36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6" fillId="0" borderId="37" xfId="0" applyFont="1" applyBorder="1" applyAlignment="1">
      <alignment vertical="center"/>
    </xf>
    <xf numFmtId="166" fontId="6" fillId="0" borderId="36" xfId="3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6" fillId="0" borderId="48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3" fillId="0" borderId="49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66" fontId="6" fillId="0" borderId="0" xfId="3" applyFont="1" applyBorder="1" applyAlignment="1">
      <alignment horizontal="right" vertical="center"/>
    </xf>
    <xf numFmtId="0" fontId="1" fillId="0" borderId="48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166" fontId="3" fillId="0" borderId="37" xfId="3" applyFont="1" applyBorder="1" applyAlignment="1">
      <alignment vertical="center"/>
    </xf>
    <xf numFmtId="166" fontId="3" fillId="0" borderId="37" xfId="3" applyFont="1" applyFill="1" applyBorder="1" applyAlignment="1">
      <alignment vertical="center"/>
    </xf>
    <xf numFmtId="0" fontId="8" fillId="0" borderId="0" xfId="1" applyBorder="1" applyAlignment="1" applyProtection="1">
      <alignment vertical="center"/>
    </xf>
    <xf numFmtId="0" fontId="8" fillId="0" borderId="36" xfId="1" applyBorder="1" applyAlignment="1" applyProtection="1">
      <alignment vertical="center"/>
    </xf>
    <xf numFmtId="166" fontId="6" fillId="0" borderId="37" xfId="3" applyFont="1" applyBorder="1" applyAlignment="1">
      <alignment horizontal="center" vertical="center"/>
    </xf>
    <xf numFmtId="0" fontId="3" fillId="0" borderId="50" xfId="0" applyFont="1" applyBorder="1" applyAlignment="1">
      <alignment vertical="center"/>
    </xf>
    <xf numFmtId="166" fontId="3" fillId="0" borderId="37" xfId="3" applyFont="1" applyBorder="1" applyAlignment="1">
      <alignment horizontal="center" vertical="center"/>
    </xf>
    <xf numFmtId="3" fontId="6" fillId="0" borderId="0" xfId="0" applyNumberFormat="1" applyFont="1" applyBorder="1" applyAlignment="1">
      <alignment vertical="center"/>
    </xf>
    <xf numFmtId="166" fontId="3" fillId="0" borderId="37" xfId="3" applyFont="1" applyFill="1" applyBorder="1" applyAlignment="1">
      <alignment horizontal="center" vertical="center"/>
    </xf>
    <xf numFmtId="166" fontId="6" fillId="0" borderId="37" xfId="3" applyFont="1" applyFill="1" applyBorder="1" applyAlignment="1">
      <alignment horizontal="center" vertical="center"/>
    </xf>
    <xf numFmtId="166" fontId="1" fillId="0" borderId="37" xfId="3" applyFont="1" applyBorder="1" applyAlignment="1">
      <alignment vertical="center"/>
    </xf>
    <xf numFmtId="166" fontId="1" fillId="0" borderId="37" xfId="3" applyFont="1" applyFill="1" applyBorder="1" applyAlignment="1">
      <alignment horizontal="center" vertical="center"/>
    </xf>
    <xf numFmtId="166" fontId="1" fillId="0" borderId="0" xfId="3" applyFont="1" applyBorder="1" applyAlignment="1">
      <alignment horizontal="right" vertical="center"/>
    </xf>
    <xf numFmtId="4" fontId="26" fillId="0" borderId="26" xfId="0" applyNumberFormat="1" applyFont="1" applyBorder="1" applyAlignment="1">
      <alignment vertical="center"/>
    </xf>
    <xf numFmtId="4" fontId="26" fillId="0" borderId="27" xfId="0" applyNumberFormat="1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166" fontId="6" fillId="0" borderId="27" xfId="3" applyFont="1" applyBorder="1" applyAlignment="1">
      <alignment vertical="center"/>
    </xf>
    <xf numFmtId="166" fontId="6" fillId="0" borderId="28" xfId="3" applyFont="1" applyBorder="1" applyAlignment="1">
      <alignment vertical="center"/>
    </xf>
    <xf numFmtId="10" fontId="3" fillId="3" borderId="7" xfId="2" applyNumberFormat="1" applyFont="1" applyFill="1" applyBorder="1" applyAlignment="1">
      <alignment vertical="center"/>
    </xf>
    <xf numFmtId="0" fontId="3" fillId="0" borderId="36" xfId="0" applyFont="1" applyBorder="1" applyAlignment="1"/>
    <xf numFmtId="43" fontId="6" fillId="0" borderId="52" xfId="0" applyNumberFormat="1" applyFont="1" applyBorder="1" applyAlignment="1">
      <alignment vertical="center"/>
    </xf>
    <xf numFmtId="0" fontId="6" fillId="0" borderId="40" xfId="0" applyFont="1" applyBorder="1" applyAlignment="1">
      <alignment vertical="center"/>
    </xf>
    <xf numFmtId="166" fontId="6" fillId="0" borderId="53" xfId="3" applyFont="1" applyBorder="1" applyAlignment="1">
      <alignment horizontal="right" vertical="center"/>
    </xf>
    <xf numFmtId="0" fontId="6" fillId="0" borderId="42" xfId="0" applyFont="1" applyBorder="1" applyAlignment="1">
      <alignment vertical="center"/>
    </xf>
    <xf numFmtId="0" fontId="6" fillId="0" borderId="54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166" fontId="6" fillId="0" borderId="52" xfId="3" applyFont="1" applyBorder="1" applyAlignment="1">
      <alignment horizontal="right" vertical="center"/>
    </xf>
    <xf numFmtId="0" fontId="28" fillId="0" borderId="36" xfId="1" applyFont="1" applyBorder="1" applyAlignment="1" applyProtection="1">
      <alignment vertical="center"/>
    </xf>
    <xf numFmtId="0" fontId="5" fillId="0" borderId="0" xfId="0" applyFont="1" applyBorder="1" applyAlignment="1">
      <alignment vertical="center"/>
    </xf>
    <xf numFmtId="166" fontId="5" fillId="0" borderId="40" xfId="3" applyFont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horizontal="center"/>
    </xf>
    <xf numFmtId="0" fontId="5" fillId="0" borderId="37" xfId="0" applyFont="1" applyBorder="1"/>
    <xf numFmtId="0" fontId="1" fillId="0" borderId="0" xfId="0" applyFont="1" applyAlignment="1">
      <alignment horizontal="center" vertical="center"/>
    </xf>
    <xf numFmtId="0" fontId="1" fillId="0" borderId="40" xfId="0" applyFont="1" applyBorder="1" applyAlignment="1">
      <alignment vertical="center"/>
    </xf>
    <xf numFmtId="166" fontId="1" fillId="0" borderId="40" xfId="3" applyFont="1" applyBorder="1" applyAlignment="1">
      <alignment vertical="center"/>
    </xf>
    <xf numFmtId="0" fontId="5" fillId="0" borderId="51" xfId="0" applyFont="1" applyFill="1" applyBorder="1" applyAlignment="1">
      <alignment vertical="center"/>
    </xf>
    <xf numFmtId="0" fontId="5" fillId="0" borderId="51" xfId="0" applyFont="1" applyBorder="1"/>
    <xf numFmtId="0" fontId="5" fillId="0" borderId="51" xfId="0" applyFont="1" applyBorder="1" applyAlignment="1">
      <alignment horizontal="center"/>
    </xf>
    <xf numFmtId="166" fontId="6" fillId="0" borderId="10" xfId="3" applyFont="1" applyBorder="1" applyAlignment="1">
      <alignment vertical="center"/>
    </xf>
    <xf numFmtId="4" fontId="6" fillId="0" borderId="59" xfId="0" applyNumberFormat="1" applyFont="1" applyBorder="1" applyAlignment="1">
      <alignment vertical="center"/>
    </xf>
    <xf numFmtId="0" fontId="5" fillId="0" borderId="60" xfId="0" applyFont="1" applyBorder="1"/>
    <xf numFmtId="0" fontId="16" fillId="0" borderId="18" xfId="0" applyFont="1" applyBorder="1" applyAlignment="1">
      <alignment horizontal="center" vertical="center"/>
    </xf>
    <xf numFmtId="166" fontId="1" fillId="0" borderId="0" xfId="3" applyFont="1" applyBorder="1" applyAlignment="1">
      <alignment horizontal="center" vertical="center"/>
    </xf>
    <xf numFmtId="0" fontId="1" fillId="0" borderId="36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166" fontId="3" fillId="0" borderId="12" xfId="3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166" fontId="3" fillId="0" borderId="12" xfId="3" applyFont="1" applyBorder="1" applyAlignment="1">
      <alignment horizontal="left" vertical="center"/>
    </xf>
    <xf numFmtId="0" fontId="27" fillId="0" borderId="0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7" fontId="6" fillId="0" borderId="0" xfId="3" applyNumberFormat="1" applyFont="1" applyBorder="1" applyAlignment="1">
      <alignment vertical="center"/>
    </xf>
    <xf numFmtId="170" fontId="6" fillId="0" borderId="1" xfId="3" applyNumberFormat="1" applyFont="1" applyBorder="1" applyAlignment="1">
      <alignment vertical="center"/>
    </xf>
    <xf numFmtId="166" fontId="6" fillId="0" borderId="42" xfId="3" applyFont="1" applyBorder="1" applyAlignment="1">
      <alignment vertical="center"/>
    </xf>
    <xf numFmtId="166" fontId="6" fillId="0" borderId="40" xfId="3" applyFont="1" applyBorder="1" applyAlignment="1">
      <alignment vertical="center"/>
    </xf>
    <xf numFmtId="0" fontId="0" fillId="0" borderId="40" xfId="0" applyBorder="1" applyAlignment="1">
      <alignment vertical="center"/>
    </xf>
    <xf numFmtId="1" fontId="6" fillId="0" borderId="62" xfId="3" applyNumberFormat="1" applyFont="1" applyBorder="1" applyAlignment="1">
      <alignment horizontal="center" vertical="center"/>
    </xf>
    <xf numFmtId="166" fontId="3" fillId="0" borderId="16" xfId="3" applyFont="1" applyBorder="1" applyAlignment="1">
      <alignment horizontal="right" vertical="center"/>
    </xf>
    <xf numFmtId="166" fontId="6" fillId="0" borderId="26" xfId="3" applyFont="1" applyBorder="1" applyAlignment="1">
      <alignment vertical="center"/>
    </xf>
    <xf numFmtId="1" fontId="6" fillId="0" borderId="29" xfId="3" applyNumberFormat="1" applyFont="1" applyBorder="1" applyAlignment="1">
      <alignment horizontal="center" vertical="center"/>
    </xf>
    <xf numFmtId="0" fontId="1" fillId="0" borderId="36" xfId="8" applyBorder="1" applyAlignment="1">
      <alignment vertical="center"/>
    </xf>
    <xf numFmtId="4" fontId="3" fillId="0" borderId="8" xfId="8" applyNumberFormat="1" applyFont="1" applyBorder="1" applyAlignment="1">
      <alignment horizontal="centerContinuous" vertical="center"/>
    </xf>
    <xf numFmtId="169" fontId="3" fillId="0" borderId="1" xfId="8" applyNumberFormat="1" applyFont="1" applyBorder="1" applyAlignment="1">
      <alignment vertical="center"/>
    </xf>
    <xf numFmtId="169" fontId="3" fillId="0" borderId="34" xfId="8" applyNumberFormat="1" applyFont="1" applyBorder="1" applyAlignment="1">
      <alignment vertical="center"/>
    </xf>
    <xf numFmtId="4" fontId="3" fillId="0" borderId="6" xfId="8" applyNumberFormat="1" applyFont="1" applyBorder="1" applyAlignment="1">
      <alignment horizontal="centerContinuous" vertical="center"/>
    </xf>
    <xf numFmtId="165" fontId="3" fillId="0" borderId="32" xfId="8" applyNumberFormat="1" applyFont="1" applyBorder="1" applyAlignment="1">
      <alignment vertical="center"/>
    </xf>
    <xf numFmtId="0" fontId="11" fillId="2" borderId="14" xfId="8" applyFont="1" applyFill="1" applyBorder="1" applyAlignment="1">
      <alignment horizontal="center" vertical="center"/>
    </xf>
    <xf numFmtId="0" fontId="11" fillId="2" borderId="15" xfId="8" applyFont="1" applyFill="1" applyBorder="1" applyAlignment="1">
      <alignment horizontal="center" vertical="center"/>
    </xf>
    <xf numFmtId="0" fontId="1" fillId="0" borderId="1" xfId="8" applyBorder="1" applyAlignment="1">
      <alignment horizontal="center" vertical="center"/>
    </xf>
    <xf numFmtId="166" fontId="1" fillId="3" borderId="2" xfId="3" applyFont="1" applyFill="1" applyBorder="1" applyAlignment="1">
      <alignment horizontal="center" vertical="center"/>
    </xf>
    <xf numFmtId="166" fontId="1" fillId="0" borderId="1" xfId="3" applyFont="1" applyBorder="1" applyAlignment="1">
      <alignment horizontal="center" vertical="center"/>
    </xf>
    <xf numFmtId="0" fontId="3" fillId="0" borderId="5" xfId="8" applyFont="1" applyBorder="1" applyAlignment="1">
      <alignment vertical="center"/>
    </xf>
    <xf numFmtId="0" fontId="3" fillId="0" borderId="6" xfId="8" applyFont="1" applyBorder="1" applyAlignment="1">
      <alignment vertical="center"/>
    </xf>
    <xf numFmtId="0" fontId="1" fillId="0" borderId="6" xfId="8" applyBorder="1" applyAlignment="1">
      <alignment vertical="center"/>
    </xf>
    <xf numFmtId="166" fontId="1" fillId="0" borderId="6" xfId="3" applyFont="1" applyBorder="1" applyAlignment="1">
      <alignment vertical="center"/>
    </xf>
    <xf numFmtId="166" fontId="1" fillId="0" borderId="7" xfId="3" applyFont="1" applyBorder="1" applyAlignment="1">
      <alignment vertical="center"/>
    </xf>
    <xf numFmtId="0" fontId="1" fillId="0" borderId="2" xfId="8" applyBorder="1" applyAlignment="1">
      <alignment horizontal="center" vertical="center"/>
    </xf>
    <xf numFmtId="166" fontId="1" fillId="5" borderId="1" xfId="3" applyFont="1" applyFill="1" applyBorder="1" applyAlignment="1">
      <alignment horizontal="center" vertical="center"/>
    </xf>
    <xf numFmtId="166" fontId="1" fillId="0" borderId="2" xfId="3" applyFont="1" applyBorder="1" applyAlignment="1">
      <alignment horizontal="center" vertical="center"/>
    </xf>
    <xf numFmtId="43" fontId="1" fillId="0" borderId="1" xfId="8" applyNumberFormat="1" applyBorder="1" applyAlignment="1">
      <alignment horizontal="center" vertical="center"/>
    </xf>
    <xf numFmtId="170" fontId="6" fillId="0" borderId="0" xfId="3" applyNumberFormat="1" applyFont="1" applyBorder="1" applyAlignment="1">
      <alignment vertical="center"/>
    </xf>
    <xf numFmtId="43" fontId="1" fillId="0" borderId="0" xfId="0" applyNumberFormat="1" applyFont="1" applyAlignment="1">
      <alignment vertical="center"/>
    </xf>
    <xf numFmtId="166" fontId="1" fillId="3" borderId="0" xfId="3" applyFont="1" applyFill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6" fillId="0" borderId="20" xfId="0" applyFont="1" applyBorder="1" applyAlignment="1">
      <alignment horizontal="center" vertical="center"/>
    </xf>
    <xf numFmtId="166" fontId="6" fillId="3" borderId="20" xfId="3" applyNumberFormat="1" applyFont="1" applyFill="1" applyBorder="1" applyAlignment="1">
      <alignment horizontal="center" vertical="center"/>
    </xf>
    <xf numFmtId="166" fontId="6" fillId="0" borderId="20" xfId="3" applyFont="1" applyBorder="1" applyAlignment="1">
      <alignment vertical="center"/>
    </xf>
    <xf numFmtId="166" fontId="3" fillId="0" borderId="25" xfId="3" applyFont="1" applyFill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166" fontId="1" fillId="0" borderId="0" xfId="0" applyNumberFormat="1" applyFont="1" applyBorder="1" applyAlignment="1">
      <alignment vertical="center"/>
    </xf>
    <xf numFmtId="0" fontId="1" fillId="0" borderId="36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1" fontId="1" fillId="0" borderId="1" xfId="3" applyNumberFormat="1" applyFont="1" applyFill="1" applyBorder="1" applyAlignment="1">
      <alignment horizontal="center" vertical="center"/>
    </xf>
    <xf numFmtId="164" fontId="1" fillId="3" borderId="1" xfId="5" applyFont="1" applyFill="1" applyBorder="1" applyAlignment="1">
      <alignment vertical="center"/>
    </xf>
    <xf numFmtId="0" fontId="2" fillId="0" borderId="51" xfId="0" applyFont="1" applyBorder="1" applyAlignment="1">
      <alignment vertical="center"/>
    </xf>
    <xf numFmtId="170" fontId="1" fillId="0" borderId="1" xfId="3" applyNumberFormat="1" applyFont="1" applyBorder="1" applyAlignment="1">
      <alignment vertical="center"/>
    </xf>
    <xf numFmtId="164" fontId="3" fillId="2" borderId="4" xfId="5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170" fontId="1" fillId="0" borderId="0" xfId="3" applyNumberFormat="1" applyFont="1" applyBorder="1" applyAlignment="1">
      <alignment vertical="center"/>
    </xf>
    <xf numFmtId="166" fontId="1" fillId="3" borderId="1" xfId="3" applyFont="1" applyFill="1" applyBorder="1" applyAlignment="1">
      <alignment horizontal="center" vertical="center"/>
    </xf>
    <xf numFmtId="0" fontId="2" fillId="0" borderId="59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70" fontId="6" fillId="0" borderId="54" xfId="3" applyNumberFormat="1" applyFont="1" applyBorder="1" applyAlignment="1">
      <alignment vertical="center"/>
    </xf>
    <xf numFmtId="170" fontId="6" fillId="0" borderId="52" xfId="3" applyNumberFormat="1" applyFont="1" applyBorder="1" applyAlignment="1">
      <alignment vertical="center"/>
    </xf>
    <xf numFmtId="0" fontId="26" fillId="0" borderId="1" xfId="0" applyFont="1" applyBorder="1" applyAlignment="1">
      <alignment horizontal="center" vertical="center"/>
    </xf>
    <xf numFmtId="13" fontId="1" fillId="3" borderId="1" xfId="0" applyNumberFormat="1" applyFont="1" applyFill="1" applyBorder="1" applyAlignment="1">
      <alignment horizontal="right" vertical="center"/>
    </xf>
    <xf numFmtId="13" fontId="1" fillId="3" borderId="1" xfId="0" applyNumberFormat="1" applyFont="1" applyFill="1" applyBorder="1" applyAlignment="1">
      <alignment horizontal="center" vertical="center"/>
    </xf>
    <xf numFmtId="2" fontId="16" fillId="3" borderId="1" xfId="0" applyNumberFormat="1" applyFont="1" applyFill="1" applyBorder="1" applyAlignment="1">
      <alignment horizontal="right" vertical="center"/>
    </xf>
    <xf numFmtId="4" fontId="1" fillId="0" borderId="0" xfId="8" applyNumberFormat="1" applyBorder="1" applyAlignment="1">
      <alignment vertical="center"/>
    </xf>
    <xf numFmtId="0" fontId="1" fillId="0" borderId="0" xfId="8" applyBorder="1" applyAlignment="1">
      <alignment vertical="center"/>
    </xf>
    <xf numFmtId="0" fontId="3" fillId="0" borderId="36" xfId="8" applyFont="1" applyBorder="1" applyAlignment="1">
      <alignment vertical="center"/>
    </xf>
    <xf numFmtId="0" fontId="3" fillId="0" borderId="0" xfId="8" applyFont="1" applyBorder="1" applyAlignment="1">
      <alignment vertical="center"/>
    </xf>
    <xf numFmtId="0" fontId="1" fillId="0" borderId="21" xfId="8" applyBorder="1" applyAlignment="1">
      <alignment vertical="center"/>
    </xf>
    <xf numFmtId="0" fontId="1" fillId="0" borderId="48" xfId="8" applyBorder="1" applyAlignment="1">
      <alignment vertical="center"/>
    </xf>
    <xf numFmtId="0" fontId="4" fillId="10" borderId="6" xfId="0" applyFont="1" applyFill="1" applyBorder="1" applyAlignment="1">
      <alignment vertical="center"/>
    </xf>
    <xf numFmtId="0" fontId="4" fillId="10" borderId="7" xfId="0" applyFont="1" applyFill="1" applyBorder="1" applyAlignment="1">
      <alignment vertical="center"/>
    </xf>
    <xf numFmtId="0" fontId="6" fillId="10" borderId="36" xfId="0" applyFont="1" applyFill="1" applyBorder="1" applyAlignment="1">
      <alignment vertical="center"/>
    </xf>
    <xf numFmtId="44" fontId="3" fillId="2" borderId="4" xfId="9" applyFont="1" applyFill="1" applyBorder="1" applyAlignment="1">
      <alignment vertical="center"/>
    </xf>
    <xf numFmtId="44" fontId="3" fillId="10" borderId="4" xfId="9" applyFont="1" applyFill="1" applyBorder="1" applyAlignment="1">
      <alignment vertical="center"/>
    </xf>
    <xf numFmtId="166" fontId="5" fillId="0" borderId="0" xfId="3" applyFont="1" applyBorder="1" applyAlignment="1">
      <alignment vertical="center"/>
    </xf>
    <xf numFmtId="0" fontId="6" fillId="10" borderId="0" xfId="0" applyFont="1" applyFill="1" applyBorder="1" applyAlignment="1">
      <alignment vertical="center"/>
    </xf>
    <xf numFmtId="0" fontId="4" fillId="10" borderId="5" xfId="0" applyFont="1" applyFill="1" applyBorder="1" applyAlignment="1">
      <alignment horizontal="right" vertical="center"/>
    </xf>
    <xf numFmtId="0" fontId="4" fillId="10" borderId="6" xfId="0" applyFont="1" applyFill="1" applyBorder="1" applyAlignment="1">
      <alignment horizontal="right" vertical="center"/>
    </xf>
    <xf numFmtId="166" fontId="5" fillId="0" borderId="0" xfId="3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9" fillId="0" borderId="23" xfId="0" applyFont="1" applyBorder="1" applyAlignment="1">
      <alignment horizontal="center" vertical="center"/>
    </xf>
    <xf numFmtId="0" fontId="29" fillId="0" borderId="24" xfId="0" applyFont="1" applyBorder="1" applyAlignment="1">
      <alignment horizontal="center" vertical="center"/>
    </xf>
    <xf numFmtId="0" fontId="1" fillId="0" borderId="36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7" fillId="7" borderId="23" xfId="0" applyFont="1" applyFill="1" applyBorder="1" applyAlignment="1">
      <alignment horizontal="center" vertical="center"/>
    </xf>
    <xf numFmtId="0" fontId="7" fillId="7" borderId="24" xfId="0" applyFont="1" applyFill="1" applyBorder="1" applyAlignment="1">
      <alignment horizontal="center" vertical="center"/>
    </xf>
    <xf numFmtId="0" fontId="7" fillId="7" borderId="25" xfId="0" applyFont="1" applyFill="1" applyBorder="1" applyAlignment="1">
      <alignment horizontal="center" vertical="center"/>
    </xf>
    <xf numFmtId="166" fontId="7" fillId="7" borderId="26" xfId="3" applyFont="1" applyFill="1" applyBorder="1" applyAlignment="1">
      <alignment horizontal="center" vertical="center"/>
    </xf>
    <xf numFmtId="166" fontId="7" fillId="7" borderId="27" xfId="3" applyFont="1" applyFill="1" applyBorder="1" applyAlignment="1">
      <alignment horizontal="center" vertical="center"/>
    </xf>
    <xf numFmtId="166" fontId="7" fillId="7" borderId="28" xfId="3" applyFont="1" applyFill="1" applyBorder="1" applyAlignment="1">
      <alignment horizontal="center" vertical="center"/>
    </xf>
    <xf numFmtId="166" fontId="5" fillId="0" borderId="51" xfId="3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166" fontId="3" fillId="0" borderId="12" xfId="3" applyFont="1" applyBorder="1" applyAlignment="1">
      <alignment horizontal="left" vertical="center"/>
    </xf>
    <xf numFmtId="166" fontId="3" fillId="0" borderId="8" xfId="3" applyFont="1" applyBorder="1" applyAlignment="1">
      <alignment horizontal="left" vertical="center"/>
    </xf>
    <xf numFmtId="0" fontId="4" fillId="7" borderId="36" xfId="0" applyFont="1" applyFill="1" applyBorder="1" applyAlignment="1">
      <alignment horizontal="center" vertical="center"/>
    </xf>
    <xf numFmtId="0" fontId="4" fillId="7" borderId="0" xfId="0" applyFont="1" applyFill="1" applyBorder="1" applyAlignment="1">
      <alignment horizontal="center" vertical="center"/>
    </xf>
    <xf numFmtId="0" fontId="4" fillId="7" borderId="37" xfId="0" applyFont="1" applyFill="1" applyBorder="1" applyAlignment="1">
      <alignment horizontal="center" vertical="center"/>
    </xf>
    <xf numFmtId="0" fontId="7" fillId="7" borderId="42" xfId="0" applyFont="1" applyFill="1" applyBorder="1" applyAlignment="1">
      <alignment horizontal="center" vertical="center"/>
    </xf>
    <xf numFmtId="0" fontId="7" fillId="7" borderId="40" xfId="0" applyFont="1" applyFill="1" applyBorder="1" applyAlignment="1">
      <alignment horizontal="center" vertical="center"/>
    </xf>
    <xf numFmtId="0" fontId="7" fillId="7" borderId="43" xfId="0" applyFont="1" applyFill="1" applyBorder="1" applyAlignment="1">
      <alignment horizontal="center" vertical="center"/>
    </xf>
    <xf numFmtId="166" fontId="3" fillId="0" borderId="5" xfId="3" applyFont="1" applyBorder="1" applyAlignment="1">
      <alignment horizontal="center" vertical="center"/>
    </xf>
    <xf numFmtId="166" fontId="3" fillId="0" borderId="6" xfId="3" applyFont="1" applyBorder="1" applyAlignment="1">
      <alignment horizontal="center" vertical="center"/>
    </xf>
    <xf numFmtId="166" fontId="3" fillId="0" borderId="41" xfId="3" applyFont="1" applyBorder="1" applyAlignment="1">
      <alignment horizontal="center" vertical="center"/>
    </xf>
    <xf numFmtId="166" fontId="4" fillId="7" borderId="5" xfId="3" applyFont="1" applyFill="1" applyBorder="1" applyAlignment="1">
      <alignment horizontal="center" vertical="center"/>
    </xf>
    <xf numFmtId="166" fontId="4" fillId="7" borderId="6" xfId="3" applyFont="1" applyFill="1" applyBorder="1" applyAlignment="1">
      <alignment horizontal="center" vertical="center"/>
    </xf>
    <xf numFmtId="166" fontId="4" fillId="7" borderId="7" xfId="3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7" borderId="23" xfId="8" applyFont="1" applyFill="1" applyBorder="1" applyAlignment="1">
      <alignment horizontal="center" vertical="center"/>
    </xf>
    <xf numFmtId="0" fontId="4" fillId="7" borderId="24" xfId="8" applyFont="1" applyFill="1" applyBorder="1" applyAlignment="1">
      <alignment horizontal="center" vertical="center"/>
    </xf>
    <xf numFmtId="0" fontId="4" fillId="7" borderId="25" xfId="8" applyFont="1" applyFill="1" applyBorder="1" applyAlignment="1">
      <alignment horizontal="center" vertical="center"/>
    </xf>
    <xf numFmtId="0" fontId="7" fillId="7" borderId="42" xfId="8" applyFont="1" applyFill="1" applyBorder="1" applyAlignment="1">
      <alignment horizontal="center" vertical="center"/>
    </xf>
    <xf numFmtId="0" fontId="7" fillId="7" borderId="40" xfId="8" applyFont="1" applyFill="1" applyBorder="1" applyAlignment="1">
      <alignment horizontal="center" vertical="center"/>
    </xf>
    <xf numFmtId="0" fontId="7" fillId="7" borderId="43" xfId="8" applyFont="1" applyFill="1" applyBorder="1" applyAlignment="1">
      <alignment horizontal="center" vertical="center"/>
    </xf>
    <xf numFmtId="0" fontId="16" fillId="0" borderId="54" xfId="0" applyFont="1" applyBorder="1" applyAlignment="1">
      <alignment vertical="center"/>
    </xf>
    <xf numFmtId="0" fontId="16" fillId="0" borderId="52" xfId="0" applyFont="1" applyBorder="1" applyAlignment="1">
      <alignment vertical="center"/>
    </xf>
    <xf numFmtId="0" fontId="4" fillId="7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0" fontId="4" fillId="7" borderId="55" xfId="0" applyFont="1" applyFill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0" borderId="58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52" xfId="0" applyFont="1" applyBorder="1" applyAlignment="1">
      <alignment horizontal="left" vertical="center" wrapText="1"/>
    </xf>
    <xf numFmtId="0" fontId="1" fillId="0" borderId="38" xfId="0" applyFont="1" applyBorder="1" applyAlignment="1">
      <alignment horizontal="left" vertical="center" wrapText="1"/>
    </xf>
    <xf numFmtId="0" fontId="1" fillId="0" borderId="39" xfId="0" applyFont="1" applyBorder="1" applyAlignment="1">
      <alignment horizontal="left" vertical="center" wrapText="1"/>
    </xf>
    <xf numFmtId="0" fontId="1" fillId="0" borderId="57" xfId="0" applyFont="1" applyBorder="1" applyAlignment="1">
      <alignment horizontal="left" vertical="center" wrapText="1"/>
    </xf>
    <xf numFmtId="0" fontId="27" fillId="0" borderId="11" xfId="0" applyFont="1" applyBorder="1" applyAlignment="1">
      <alignment horizontal="center" vertical="center"/>
    </xf>
    <xf numFmtId="0" fontId="27" fillId="0" borderId="61" xfId="0" applyFont="1" applyBorder="1" applyAlignment="1">
      <alignment horizontal="center" vertical="center"/>
    </xf>
    <xf numFmtId="0" fontId="27" fillId="0" borderId="29" xfId="0" applyFont="1" applyBorder="1" applyAlignment="1">
      <alignment horizontal="center" vertical="center"/>
    </xf>
    <xf numFmtId="0" fontId="20" fillId="0" borderId="54" xfId="0" applyFont="1" applyBorder="1" applyAlignment="1">
      <alignment vertical="center"/>
    </xf>
    <xf numFmtId="0" fontId="20" fillId="0" borderId="52" xfId="0" applyFont="1" applyBorder="1" applyAlignment="1">
      <alignment vertical="center"/>
    </xf>
    <xf numFmtId="0" fontId="16" fillId="0" borderId="54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16" fillId="4" borderId="54" xfId="0" applyFont="1" applyFill="1" applyBorder="1" applyAlignment="1">
      <alignment horizontal="center" vertical="center"/>
    </xf>
    <xf numFmtId="0" fontId="16" fillId="4" borderId="52" xfId="0" applyFont="1" applyFill="1" applyBorder="1" applyAlignment="1">
      <alignment horizontal="center" vertical="center"/>
    </xf>
    <xf numFmtId="0" fontId="20" fillId="8" borderId="56" xfId="0" applyFont="1" applyFill="1" applyBorder="1" applyAlignment="1">
      <alignment vertical="center"/>
    </xf>
    <xf numFmtId="0" fontId="20" fillId="8" borderId="57" xfId="0" applyFont="1" applyFill="1" applyBorder="1" applyAlignment="1">
      <alignment vertical="center"/>
    </xf>
    <xf numFmtId="0" fontId="16" fillId="0" borderId="54" xfId="0" applyFont="1" applyBorder="1" applyAlignment="1">
      <alignment vertical="center" wrapText="1"/>
    </xf>
    <xf numFmtId="0" fontId="16" fillId="0" borderId="52" xfId="0" applyFont="1" applyBorder="1" applyAlignment="1">
      <alignment vertical="center" wrapText="1"/>
    </xf>
    <xf numFmtId="0" fontId="2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2" xfId="0" applyFont="1" applyBorder="1" applyAlignment="1">
      <alignment horizontal="left" vertical="center" wrapText="1"/>
    </xf>
    <xf numFmtId="0" fontId="1" fillId="0" borderId="40" xfId="0" applyFont="1" applyBorder="1" applyAlignment="1">
      <alignment horizontal="left" vertical="center" wrapText="1"/>
    </xf>
    <xf numFmtId="0" fontId="1" fillId="0" borderId="43" xfId="0" applyFont="1" applyBorder="1" applyAlignment="1">
      <alignment horizontal="left" vertical="center" wrapText="1"/>
    </xf>
    <xf numFmtId="166" fontId="1" fillId="0" borderId="0" xfId="3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9" fontId="7" fillId="0" borderId="19" xfId="2" applyFont="1" applyBorder="1" applyAlignment="1">
      <alignment horizontal="center"/>
    </xf>
    <xf numFmtId="9" fontId="7" fillId="0" borderId="20" xfId="2" applyFont="1" applyBorder="1" applyAlignment="1">
      <alignment horizontal="center"/>
    </xf>
    <xf numFmtId="9" fontId="7" fillId="0" borderId="10" xfId="2" applyFont="1" applyBorder="1" applyAlignment="1">
      <alignment horizontal="center"/>
    </xf>
    <xf numFmtId="0" fontId="4" fillId="4" borderId="23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top"/>
    </xf>
    <xf numFmtId="0" fontId="4" fillId="4" borderId="27" xfId="0" applyFont="1" applyFill="1" applyBorder="1" applyAlignment="1">
      <alignment horizontal="center" vertical="top"/>
    </xf>
    <xf numFmtId="0" fontId="4" fillId="4" borderId="28" xfId="0" applyFont="1" applyFill="1" applyBorder="1" applyAlignment="1">
      <alignment horizontal="center" vertical="top"/>
    </xf>
    <xf numFmtId="0" fontId="4" fillId="9" borderId="5" xfId="0" applyFont="1" applyFill="1" applyBorder="1" applyAlignment="1">
      <alignment horizontal="center" vertical="center"/>
    </xf>
    <xf numFmtId="0" fontId="4" fillId="9" borderId="7" xfId="0" applyFont="1" applyFill="1" applyBorder="1" applyAlignment="1">
      <alignment horizontal="center" vertical="center"/>
    </xf>
  </cellXfs>
  <cellStyles count="10">
    <cellStyle name="Hiperlink" xfId="1" builtinId="8"/>
    <cellStyle name="Moeda" xfId="9" builtinId="4"/>
    <cellStyle name="Moeda 2" xfId="5"/>
    <cellStyle name="Normal" xfId="0" builtinId="0"/>
    <cellStyle name="Normal 2 2" xfId="8"/>
    <cellStyle name="Porcentagem" xfId="2" builtinId="5"/>
    <cellStyle name="Porcentagem 4" xfId="7"/>
    <cellStyle name="Vírgula" xfId="3" builtinId="3"/>
    <cellStyle name="Vírgula 2" xfId="4"/>
    <cellStyle name="Vírgula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211091</xdr:colOff>
      <xdr:row>0</xdr:row>
      <xdr:rowOff>30691</xdr:rowOff>
    </xdr:from>
    <xdr:to>
      <xdr:col>3</xdr:col>
      <xdr:colOff>989543</xdr:colOff>
      <xdr:row>1</xdr:row>
      <xdr:rowOff>506941</xdr:rowOff>
    </xdr:to>
    <xdr:pic>
      <xdr:nvPicPr>
        <xdr:cNvPr id="2" name="Imagem 1" descr="Nova logo Cotiporã.png">
          <a:extLst>
            <a:ext uri="{FF2B5EF4-FFF2-40B4-BE49-F238E27FC236}">
              <a16:creationId xmlns="" xmlns:a16="http://schemas.microsoft.com/office/drawing/2014/main" id="{254AA104-A13C-4DB3-8AB6-12A8572B2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68866" y="30691"/>
          <a:ext cx="778452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211091</xdr:colOff>
      <xdr:row>0</xdr:row>
      <xdr:rowOff>78316</xdr:rowOff>
    </xdr:from>
    <xdr:to>
      <xdr:col>5</xdr:col>
      <xdr:colOff>989543</xdr:colOff>
      <xdr:row>3</xdr:row>
      <xdr:rowOff>21166</xdr:rowOff>
    </xdr:to>
    <xdr:pic>
      <xdr:nvPicPr>
        <xdr:cNvPr id="2" name="Imagem 1" descr="Nova logo Cotiporã.png">
          <a:extLst>
            <a:ext uri="{FF2B5EF4-FFF2-40B4-BE49-F238E27FC236}">
              <a16:creationId xmlns="" xmlns:a16="http://schemas.microsoft.com/office/drawing/2014/main" id="{254AA104-A13C-4DB3-8AB6-12A8572B2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59591" y="78316"/>
          <a:ext cx="778452" cy="757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221674</xdr:colOff>
      <xdr:row>0</xdr:row>
      <xdr:rowOff>57150</xdr:rowOff>
    </xdr:from>
    <xdr:to>
      <xdr:col>5</xdr:col>
      <xdr:colOff>1000126</xdr:colOff>
      <xdr:row>3</xdr:row>
      <xdr:rowOff>9525</xdr:rowOff>
    </xdr:to>
    <xdr:pic>
      <xdr:nvPicPr>
        <xdr:cNvPr id="2" name="Imagem 1" descr="Nova logo Cotiporã.png">
          <a:extLst>
            <a:ext uri="{FF2B5EF4-FFF2-40B4-BE49-F238E27FC236}">
              <a16:creationId xmlns="" xmlns:a16="http://schemas.microsoft.com/office/drawing/2014/main" id="{254AA104-A13C-4DB3-8AB6-12A8572B2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60649" y="57150"/>
          <a:ext cx="778452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221674</xdr:colOff>
      <xdr:row>0</xdr:row>
      <xdr:rowOff>38100</xdr:rowOff>
    </xdr:from>
    <xdr:to>
      <xdr:col>5</xdr:col>
      <xdr:colOff>1000126</xdr:colOff>
      <xdr:row>3</xdr:row>
      <xdr:rowOff>19050</xdr:rowOff>
    </xdr:to>
    <xdr:pic>
      <xdr:nvPicPr>
        <xdr:cNvPr id="2" name="Imagem 1" descr="Nova logo Cotiporã.png">
          <a:extLst>
            <a:ext uri="{FF2B5EF4-FFF2-40B4-BE49-F238E27FC236}">
              <a16:creationId xmlns="" xmlns:a16="http://schemas.microsoft.com/office/drawing/2014/main" id="{254AA104-A13C-4DB3-8AB6-12A8572B2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60649" y="38100"/>
          <a:ext cx="778452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104774</xdr:colOff>
      <xdr:row>0</xdr:row>
      <xdr:rowOff>128835</xdr:rowOff>
    </xdr:from>
    <xdr:ext cx="790576" cy="734567"/>
    <xdr:pic>
      <xdr:nvPicPr>
        <xdr:cNvPr id="2" name="Imagem 1" descr="Nova logo Cotiporã.png">
          <a:extLst>
            <a:ext uri="{FF2B5EF4-FFF2-40B4-BE49-F238E27FC236}">
              <a16:creationId xmlns="" xmlns:a16="http://schemas.microsoft.com/office/drawing/2014/main" id="{254AA104-A13C-4DB3-8AB6-12A8572B2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24449" y="128835"/>
          <a:ext cx="790576" cy="7345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95249</xdr:colOff>
      <xdr:row>0</xdr:row>
      <xdr:rowOff>45888</xdr:rowOff>
    </xdr:from>
    <xdr:ext cx="695325" cy="646064"/>
    <xdr:pic>
      <xdr:nvPicPr>
        <xdr:cNvPr id="3" name="Imagem 2" descr="Nova logo Cotiporã.png">
          <a:extLst>
            <a:ext uri="{FF2B5EF4-FFF2-40B4-BE49-F238E27FC236}">
              <a16:creationId xmlns="" xmlns:a16="http://schemas.microsoft.com/office/drawing/2014/main" id="{254AA104-A13C-4DB3-8AB6-12A8572B2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4" y="45888"/>
          <a:ext cx="695325" cy="6460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95249</xdr:colOff>
      <xdr:row>0</xdr:row>
      <xdr:rowOff>45888</xdr:rowOff>
    </xdr:from>
    <xdr:ext cx="695325" cy="646064"/>
    <xdr:pic>
      <xdr:nvPicPr>
        <xdr:cNvPr id="2" name="Imagem 1" descr="Nova logo Cotiporã.png">
          <a:extLst>
            <a:ext uri="{FF2B5EF4-FFF2-40B4-BE49-F238E27FC236}">
              <a16:creationId xmlns="" xmlns:a16="http://schemas.microsoft.com/office/drawing/2014/main" id="{254AA104-A13C-4DB3-8AB6-12A8572B2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4" y="45888"/>
          <a:ext cx="695325" cy="6460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4</xdr:row>
      <xdr:rowOff>28575</xdr:rowOff>
    </xdr:from>
    <xdr:to>
      <xdr:col>0</xdr:col>
      <xdr:colOff>1419225</xdr:colOff>
      <xdr:row>6</xdr:row>
      <xdr:rowOff>66675</xdr:rowOff>
    </xdr:to>
    <xdr:pic>
      <xdr:nvPicPr>
        <xdr:cNvPr id="6506" name="Picture 2">
          <a:extLst>
            <a:ext uri="{FF2B5EF4-FFF2-40B4-BE49-F238E27FC236}">
              <a16:creationId xmlns="" xmlns:a16="http://schemas.microsoft.com/office/drawing/2014/main" id="{00000000-0008-0000-0500-00006A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419100"/>
          <a:ext cx="12858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85725</xdr:colOff>
      <xdr:row>7</xdr:row>
      <xdr:rowOff>9525</xdr:rowOff>
    </xdr:from>
    <xdr:to>
      <xdr:col>0</xdr:col>
      <xdr:colOff>2124075</xdr:colOff>
      <xdr:row>9</xdr:row>
      <xdr:rowOff>57150</xdr:rowOff>
    </xdr:to>
    <xdr:pic>
      <xdr:nvPicPr>
        <xdr:cNvPr id="6507" name="Picture 1">
          <a:extLst>
            <a:ext uri="{FF2B5EF4-FFF2-40B4-BE49-F238E27FC236}">
              <a16:creationId xmlns="" xmlns:a16="http://schemas.microsoft.com/office/drawing/2014/main" id="{00000000-0008-0000-0500-00006B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885825"/>
          <a:ext cx="20383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zoomScaleNormal="100" zoomScaleSheetLayoutView="90" workbookViewId="0">
      <selection activeCell="G14" sqref="G14"/>
    </sheetView>
  </sheetViews>
  <sheetFormatPr defaultRowHeight="12.75" x14ac:dyDescent="0.2"/>
  <cols>
    <col min="1" max="1" width="51.140625" style="7" customWidth="1"/>
    <col min="2" max="2" width="13.42578125" style="7" customWidth="1"/>
    <col min="3" max="3" width="15.140625" style="8" customWidth="1"/>
    <col min="4" max="4" width="17.42578125" style="8" customWidth="1"/>
    <col min="5" max="5" width="28.140625" style="8" customWidth="1"/>
    <col min="6" max="6" width="9.140625" style="7"/>
    <col min="7" max="7" width="14.5703125" style="7" customWidth="1"/>
    <col min="8" max="8" width="13.42578125" style="7" customWidth="1"/>
    <col min="9" max="16384" width="9.140625" style="7"/>
  </cols>
  <sheetData>
    <row r="1" spans="1:5" ht="22.5" customHeight="1" x14ac:dyDescent="0.2">
      <c r="A1" s="387" t="s">
        <v>218</v>
      </c>
      <c r="B1" s="388"/>
      <c r="C1" s="388"/>
      <c r="D1" s="233"/>
    </row>
    <row r="2" spans="1:5" ht="41.25" customHeight="1" x14ac:dyDescent="0.2">
      <c r="A2" s="389" t="s">
        <v>219</v>
      </c>
      <c r="B2" s="390"/>
      <c r="C2" s="390"/>
      <c r="D2" s="98"/>
    </row>
    <row r="3" spans="1:5" ht="20.25" customHeight="1" x14ac:dyDescent="0.2">
      <c r="A3" s="350" t="s">
        <v>225</v>
      </c>
      <c r="B3" s="351"/>
      <c r="C3" s="351"/>
      <c r="D3" s="98"/>
    </row>
    <row r="4" spans="1:5" ht="25.5" customHeight="1" thickBot="1" x14ac:dyDescent="0.25">
      <c r="A4" s="234"/>
      <c r="B4" s="41"/>
      <c r="C4" s="45"/>
      <c r="D4" s="98"/>
    </row>
    <row r="5" spans="1:5" s="6" customFormat="1" ht="21.75" customHeight="1" x14ac:dyDescent="0.2">
      <c r="A5" s="391" t="s">
        <v>277</v>
      </c>
      <c r="B5" s="392"/>
      <c r="C5" s="392"/>
      <c r="D5" s="393"/>
      <c r="E5" s="27"/>
    </row>
    <row r="6" spans="1:5" s="2" customFormat="1" ht="18" customHeight="1" thickBot="1" x14ac:dyDescent="0.25">
      <c r="A6" s="394" t="s">
        <v>275</v>
      </c>
      <c r="B6" s="395"/>
      <c r="C6" s="395"/>
      <c r="D6" s="396"/>
      <c r="E6" s="4"/>
    </row>
    <row r="7" spans="1:5" ht="13.5" customHeight="1" thickBot="1" x14ac:dyDescent="0.25">
      <c r="A7" s="378"/>
      <c r="B7" s="382"/>
      <c r="C7" s="376"/>
      <c r="D7" s="377"/>
    </row>
    <row r="8" spans="1:5" s="2" customFormat="1" ht="27" customHeight="1" thickBot="1" x14ac:dyDescent="0.25">
      <c r="A8" s="17" t="s">
        <v>261</v>
      </c>
      <c r="B8" s="18"/>
      <c r="C8" s="22"/>
      <c r="D8" s="379">
        <f>'1. Coleta Domiciliar'!F246</f>
        <v>19524.783667404896</v>
      </c>
      <c r="E8" s="4"/>
    </row>
    <row r="9" spans="1:5" s="2" customFormat="1" ht="27" customHeight="1" thickBot="1" x14ac:dyDescent="0.25">
      <c r="A9" s="17" t="str">
        <f>'2.Transporte'!A188</f>
        <v>PREÇO MENSAL TOTAL (R$/mês) - TRANSPORTE</v>
      </c>
      <c r="B9" s="18"/>
      <c r="C9" s="22"/>
      <c r="D9" s="379">
        <f>'2.Transporte'!F188</f>
        <v>12622.344816888701</v>
      </c>
      <c r="E9" s="4"/>
    </row>
    <row r="10" spans="1:5" ht="28.5" customHeight="1" thickBot="1" x14ac:dyDescent="0.25">
      <c r="A10" s="17" t="str">
        <f>'3. Destinação'!A37</f>
        <v>PREÇO MENSAL TOTAL (R$/mês) - DESTINAÇÃO FINAL</v>
      </c>
      <c r="B10" s="18"/>
      <c r="C10" s="22"/>
      <c r="D10" s="379">
        <f>'3. Destinação'!F37</f>
        <v>9817.6</v>
      </c>
    </row>
    <row r="11" spans="1:5" ht="27" customHeight="1" thickBot="1" x14ac:dyDescent="0.25">
      <c r="A11" s="383" t="s">
        <v>276</v>
      </c>
      <c r="B11" s="384"/>
      <c r="C11" s="384"/>
      <c r="D11" s="380">
        <f>SUM(D8:D10)</f>
        <v>41964.728484293599</v>
      </c>
    </row>
    <row r="12" spans="1:5" ht="38.25" customHeight="1" x14ac:dyDescent="0.2">
      <c r="C12" s="381"/>
    </row>
    <row r="13" spans="1:5" ht="35.25" customHeight="1" x14ac:dyDescent="0.2">
      <c r="B13" s="279"/>
      <c r="C13" s="287"/>
    </row>
    <row r="14" spans="1:5" ht="18.75" customHeight="1" x14ac:dyDescent="0.2">
      <c r="B14" s="385" t="s">
        <v>220</v>
      </c>
      <c r="C14" s="385"/>
    </row>
    <row r="15" spans="1:5" s="5" customFormat="1" ht="22.5" customHeight="1" x14ac:dyDescent="0.2">
      <c r="B15" s="386" t="s">
        <v>221</v>
      </c>
      <c r="C15" s="386"/>
    </row>
    <row r="16" spans="1:5" s="5" customFormat="1" ht="11.25" customHeight="1" x14ac:dyDescent="0.2"/>
    <row r="17" spans="5:5" s="5" customFormat="1" ht="11.25" customHeight="1" x14ac:dyDescent="0.2"/>
    <row r="18" spans="5:5" s="5" customFormat="1" ht="11.25" customHeight="1" x14ac:dyDescent="0.2"/>
    <row r="19" spans="5:5" s="5" customFormat="1" ht="11.25" customHeight="1" x14ac:dyDescent="0.2"/>
    <row r="20" spans="5:5" s="5" customFormat="1" ht="11.25" customHeight="1" x14ac:dyDescent="0.2"/>
    <row r="21" spans="5:5" s="39" customFormat="1" ht="11.25" customHeight="1" x14ac:dyDescent="0.2">
      <c r="E21" s="67"/>
    </row>
    <row r="22" spans="5:5" s="39" customFormat="1" ht="11.25" customHeight="1" x14ac:dyDescent="0.2">
      <c r="E22" s="67"/>
    </row>
    <row r="39" spans="3:5" ht="9" customHeight="1" x14ac:dyDescent="0.2">
      <c r="C39" s="7"/>
      <c r="D39" s="7"/>
      <c r="E39" s="7"/>
    </row>
  </sheetData>
  <mergeCells count="7">
    <mergeCell ref="A11:C11"/>
    <mergeCell ref="B14:C14"/>
    <mergeCell ref="B15:C15"/>
    <mergeCell ref="A1:C1"/>
    <mergeCell ref="A2:C2"/>
    <mergeCell ref="A5:D5"/>
    <mergeCell ref="A6:D6"/>
  </mergeCells>
  <printOptions horizontalCentered="1"/>
  <pageMargins left="0.59055118110236227" right="0.43307086614173229" top="0.78" bottom="0.55118110236220474" header="0.31496062992125984" footer="0.31496062992125984"/>
  <pageSetup paperSize="9" scale="90" fitToHeight="0" orientation="portrait" r:id="rId1"/>
  <headerFooter alignWithMargins="0">
    <oddFooter>&amp;R&amp;P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74"/>
  <sheetViews>
    <sheetView topLeftCell="A220" zoomScaleNormal="100" zoomScaleSheetLayoutView="90" workbookViewId="0">
      <selection activeCell="C137" sqref="C137"/>
    </sheetView>
  </sheetViews>
  <sheetFormatPr defaultRowHeight="12.75" x14ac:dyDescent="0.2"/>
  <cols>
    <col min="1" max="1" width="47.5703125" style="7" customWidth="1"/>
    <col min="2" max="2" width="16" style="7" bestFit="1" customWidth="1"/>
    <col min="3" max="3" width="11.85546875" style="7" customWidth="1"/>
    <col min="4" max="4" width="14.7109375" style="8" customWidth="1"/>
    <col min="5" max="5" width="15.42578125" style="8" customWidth="1"/>
    <col min="6" max="6" width="17.42578125" style="8" customWidth="1"/>
    <col min="7" max="7" width="28.140625" style="8" customWidth="1"/>
    <col min="8" max="8" width="9.140625" style="7"/>
    <col min="9" max="9" width="14.5703125" style="7" customWidth="1"/>
    <col min="10" max="10" width="13.42578125" style="7" customWidth="1"/>
    <col min="11" max="16384" width="9.140625" style="7"/>
  </cols>
  <sheetData>
    <row r="1" spans="1:9" ht="22.5" customHeight="1" x14ac:dyDescent="0.2">
      <c r="A1" s="387" t="s">
        <v>218</v>
      </c>
      <c r="B1" s="388"/>
      <c r="C1" s="388"/>
      <c r="D1" s="388"/>
      <c r="E1" s="388"/>
      <c r="F1" s="233"/>
    </row>
    <row r="2" spans="1:9" ht="21.75" customHeight="1" x14ac:dyDescent="0.2">
      <c r="A2" s="389" t="s">
        <v>219</v>
      </c>
      <c r="B2" s="390"/>
      <c r="C2" s="390"/>
      <c r="D2" s="390"/>
      <c r="E2" s="390"/>
      <c r="F2" s="98"/>
    </row>
    <row r="3" spans="1:9" ht="20.25" customHeight="1" x14ac:dyDescent="0.2">
      <c r="A3" s="243" t="s">
        <v>225</v>
      </c>
      <c r="B3" s="244"/>
      <c r="C3" s="244"/>
      <c r="D3" s="244"/>
      <c r="E3" s="244"/>
      <c r="F3" s="98"/>
    </row>
    <row r="4" spans="1:9" ht="10.5" customHeight="1" thickBot="1" x14ac:dyDescent="0.25">
      <c r="A4" s="272"/>
      <c r="B4" s="273"/>
      <c r="C4" s="273"/>
      <c r="D4" s="274"/>
      <c r="E4" s="274"/>
      <c r="F4" s="275"/>
    </row>
    <row r="5" spans="1:9" ht="15.75" customHeight="1" x14ac:dyDescent="0.2">
      <c r="A5" s="235" t="s">
        <v>165</v>
      </c>
      <c r="B5" s="236"/>
      <c r="C5" s="236"/>
      <c r="D5" s="45"/>
      <c r="E5" s="45"/>
      <c r="F5" s="98"/>
    </row>
    <row r="6" spans="1:9" s="2" customFormat="1" ht="15.6" customHeight="1" x14ac:dyDescent="0.2">
      <c r="A6" s="237" t="s">
        <v>216</v>
      </c>
      <c r="B6" s="236"/>
      <c r="C6" s="232"/>
      <c r="D6" s="105"/>
      <c r="E6" s="105"/>
      <c r="F6" s="238"/>
      <c r="G6" s="4"/>
    </row>
    <row r="7" spans="1:9" s="2" customFormat="1" ht="15.6" customHeight="1" x14ac:dyDescent="0.2">
      <c r="A7" s="239" t="s">
        <v>217</v>
      </c>
      <c r="B7" s="232"/>
      <c r="C7" s="232"/>
      <c r="D7" s="105"/>
      <c r="E7" s="105"/>
      <c r="F7" s="238"/>
      <c r="G7" s="4"/>
    </row>
    <row r="8" spans="1:9" s="2" customFormat="1" ht="12.75" customHeight="1" thickBot="1" x14ac:dyDescent="0.25">
      <c r="A8" s="270"/>
      <c r="B8" s="271"/>
      <c r="C8" s="271"/>
      <c r="D8" s="240"/>
      <c r="E8" s="240"/>
      <c r="F8" s="241"/>
      <c r="G8" s="4"/>
    </row>
    <row r="9" spans="1:9" s="6" customFormat="1" ht="21" customHeight="1" x14ac:dyDescent="0.2">
      <c r="A9" s="402" t="s">
        <v>176</v>
      </c>
      <c r="B9" s="403"/>
      <c r="C9" s="403"/>
      <c r="D9" s="403"/>
      <c r="E9" s="403"/>
      <c r="F9" s="404"/>
      <c r="G9" s="27"/>
    </row>
    <row r="10" spans="1:9" s="6" customFormat="1" ht="15.75" customHeight="1" x14ac:dyDescent="0.2">
      <c r="A10" s="405" t="s">
        <v>36</v>
      </c>
      <c r="B10" s="406"/>
      <c r="C10" s="406"/>
      <c r="D10" s="406"/>
      <c r="E10" s="406"/>
      <c r="F10" s="407"/>
      <c r="G10" s="27"/>
    </row>
    <row r="11" spans="1:9" s="2" customFormat="1" ht="10.9" customHeight="1" thickBot="1" x14ac:dyDescent="0.25">
      <c r="A11" s="112"/>
      <c r="B11" s="113"/>
      <c r="C11" s="113"/>
      <c r="D11" s="114"/>
      <c r="E11" s="114"/>
      <c r="F11" s="115"/>
      <c r="G11" s="4"/>
    </row>
    <row r="12" spans="1:9" s="2" customFormat="1" ht="15.75" customHeight="1" thickBot="1" x14ac:dyDescent="0.25">
      <c r="A12" s="411" t="s">
        <v>164</v>
      </c>
      <c r="B12" s="412"/>
      <c r="C12" s="412"/>
      <c r="D12" s="412"/>
      <c r="E12" s="412"/>
      <c r="F12" s="413"/>
      <c r="G12" s="4"/>
    </row>
    <row r="13" spans="1:9" s="2" customFormat="1" ht="15" customHeight="1" x14ac:dyDescent="0.2">
      <c r="A13" s="50" t="s">
        <v>163</v>
      </c>
      <c r="B13" s="28"/>
      <c r="C13" s="28"/>
      <c r="D13" s="174"/>
      <c r="E13" s="88" t="s">
        <v>31</v>
      </c>
      <c r="F13" s="29" t="s">
        <v>1</v>
      </c>
      <c r="G13" s="4"/>
    </row>
    <row r="14" spans="1:9" s="9" customFormat="1" ht="15" customHeight="1" x14ac:dyDescent="0.2">
      <c r="A14" s="92" t="str">
        <f>A46</f>
        <v>1. Mão-de-obra</v>
      </c>
      <c r="B14" s="93"/>
      <c r="C14" s="94"/>
      <c r="D14" s="94"/>
      <c r="E14" s="171">
        <f>F92</f>
        <v>8478.1321626797198</v>
      </c>
      <c r="F14" s="95">
        <f t="shared" ref="F14:F32" si="0">IFERROR(E14/$E$33,0)</f>
        <v>0.44183900496955381</v>
      </c>
      <c r="G14" s="32"/>
    </row>
    <row r="15" spans="1:9" s="2" customFormat="1" ht="15" customHeight="1" x14ac:dyDescent="0.2">
      <c r="A15" s="37" t="str">
        <f>A48</f>
        <v>1.1. Coletor Turno Dia</v>
      </c>
      <c r="B15" s="33"/>
      <c r="C15" s="35"/>
      <c r="D15" s="35"/>
      <c r="E15" s="172">
        <f>F56</f>
        <v>6269.3992296727274</v>
      </c>
      <c r="F15" s="44">
        <f t="shared" si="0"/>
        <v>0.32673058926695697</v>
      </c>
      <c r="G15" s="4"/>
    </row>
    <row r="16" spans="1:9" s="2" customFormat="1" ht="15" customHeight="1" x14ac:dyDescent="0.2">
      <c r="A16" s="37" t="str">
        <f>A57</f>
        <v>1.2. Motorista Turno do Dia</v>
      </c>
      <c r="B16" s="33"/>
      <c r="C16" s="35"/>
      <c r="D16" s="35"/>
      <c r="E16" s="172">
        <f>F65</f>
        <v>1622.6631490909094</v>
      </c>
      <c r="F16" s="44">
        <f t="shared" si="0"/>
        <v>8.4565309603345323E-2</v>
      </c>
      <c r="G16" s="4"/>
      <c r="I16" s="3"/>
    </row>
    <row r="17" spans="1:9" s="2" customFormat="1" ht="15" customHeight="1" x14ac:dyDescent="0.2">
      <c r="A17" s="37" t="str">
        <f>A66</f>
        <v>1.3. Auxílio Refeição</v>
      </c>
      <c r="B17" s="33"/>
      <c r="C17" s="35"/>
      <c r="D17" s="35"/>
      <c r="E17" s="172">
        <f>F70</f>
        <v>244.21818181818185</v>
      </c>
      <c r="F17" s="44">
        <f t="shared" si="0"/>
        <v>1.2727463594518089E-2</v>
      </c>
      <c r="G17" s="4"/>
      <c r="I17" s="202"/>
    </row>
    <row r="18" spans="1:9" s="2" customFormat="1" ht="15" customHeight="1" x14ac:dyDescent="0.2">
      <c r="A18" s="37" t="str">
        <f>A72</f>
        <v>1.4. Vale Transporte</v>
      </c>
      <c r="B18" s="33"/>
      <c r="C18" s="35"/>
      <c r="D18" s="35"/>
      <c r="E18" s="172">
        <f>F79</f>
        <v>254.85523846153842</v>
      </c>
      <c r="F18" s="44">
        <f t="shared" si="0"/>
        <v>1.3281815240956677E-2</v>
      </c>
      <c r="G18" s="4"/>
      <c r="I18" s="202"/>
    </row>
    <row r="19" spans="1:9" s="2" customFormat="1" ht="15" customHeight="1" x14ac:dyDescent="0.2">
      <c r="A19" s="37" t="str">
        <f>A81</f>
        <v xml:space="preserve">1.5. Plano de Benefício Social  </v>
      </c>
      <c r="B19" s="33"/>
      <c r="C19" s="35"/>
      <c r="D19" s="35"/>
      <c r="E19" s="172">
        <f>F84</f>
        <v>14.123636363636365</v>
      </c>
      <c r="F19" s="44">
        <f t="shared" si="0"/>
        <v>7.360552203857691E-4</v>
      </c>
      <c r="G19" s="4"/>
      <c r="I19" s="202"/>
    </row>
    <row r="20" spans="1:9" s="2" customFormat="1" ht="15" customHeight="1" x14ac:dyDescent="0.2">
      <c r="A20" s="37" t="str">
        <f>A86</f>
        <v xml:space="preserve">1.6. Auxílio Alimentação e Abono Indenizatório </v>
      </c>
      <c r="B20" s="33"/>
      <c r="C20" s="35"/>
      <c r="D20" s="35"/>
      <c r="E20" s="172">
        <f>F90</f>
        <v>72.872727272727275</v>
      </c>
      <c r="F20" s="44">
        <f t="shared" si="0"/>
        <v>3.7977720433910434E-3</v>
      </c>
      <c r="G20" s="4"/>
      <c r="I20" s="202"/>
    </row>
    <row r="21" spans="1:9" s="9" customFormat="1" ht="15" customHeight="1" x14ac:dyDescent="0.2">
      <c r="A21" s="400" t="str">
        <f>A94</f>
        <v>2. Uniformes e Equipamentos de Proteção Individual</v>
      </c>
      <c r="B21" s="401"/>
      <c r="C21" s="401"/>
      <c r="D21" s="94"/>
      <c r="E21" s="171">
        <f>+F125</f>
        <v>114.09090909090909</v>
      </c>
      <c r="F21" s="95">
        <f t="shared" si="0"/>
        <v>5.9458631667362264E-3</v>
      </c>
      <c r="G21" s="32"/>
      <c r="I21" s="203"/>
    </row>
    <row r="22" spans="1:9" s="9" customFormat="1" ht="15" customHeight="1" x14ac:dyDescent="0.2">
      <c r="A22" s="215" t="str">
        <f>A127</f>
        <v>3. Veículos e Equipamentos</v>
      </c>
      <c r="B22" s="103"/>
      <c r="C22" s="94"/>
      <c r="D22" s="94"/>
      <c r="E22" s="171">
        <f>+F210</f>
        <v>6162.9183429437226</v>
      </c>
      <c r="F22" s="95">
        <f t="shared" si="0"/>
        <v>0.32118132344544503</v>
      </c>
      <c r="G22" s="32"/>
      <c r="I22" s="203"/>
    </row>
    <row r="23" spans="1:9" s="2" customFormat="1" ht="15" customHeight="1" x14ac:dyDescent="0.2">
      <c r="A23" s="51" t="str">
        <f>A129</f>
        <v>3.1. Veículo Coletor Compactador 15 m³</v>
      </c>
      <c r="B23" s="34"/>
      <c r="C23" s="35"/>
      <c r="D23" s="35"/>
      <c r="E23" s="172">
        <f>SUM(E24:E29)</f>
        <v>6162.9183429437226</v>
      </c>
      <c r="F23" s="107">
        <f t="shared" si="0"/>
        <v>0.32118132344544503</v>
      </c>
      <c r="G23" s="4"/>
      <c r="I23" s="202"/>
    </row>
    <row r="24" spans="1:9" s="2" customFormat="1" ht="15" customHeight="1" x14ac:dyDescent="0.2">
      <c r="A24" s="51" t="str">
        <f>A131</f>
        <v>3.1.1. Depreciação</v>
      </c>
      <c r="B24" s="34"/>
      <c r="C24" s="35"/>
      <c r="D24" s="35"/>
      <c r="E24" s="172">
        <f>F146</f>
        <v>849.31515151515157</v>
      </c>
      <c r="F24" s="107">
        <f t="shared" si="0"/>
        <v>4.4262174055612995E-2</v>
      </c>
      <c r="G24" s="4"/>
      <c r="I24" s="202"/>
    </row>
    <row r="25" spans="1:9" s="2" customFormat="1" ht="15" customHeight="1" x14ac:dyDescent="0.2">
      <c r="A25" s="51" t="str">
        <f>A148</f>
        <v>3.1.2. Remuneração do Capital</v>
      </c>
      <c r="B25" s="34"/>
      <c r="C25" s="35"/>
      <c r="D25" s="35"/>
      <c r="E25" s="172">
        <f>F163</f>
        <v>788.60181818181809</v>
      </c>
      <c r="F25" s="107">
        <f t="shared" si="0"/>
        <v>4.10980904728553E-2</v>
      </c>
      <c r="G25" s="4"/>
      <c r="I25" s="202"/>
    </row>
    <row r="26" spans="1:9" s="2" customFormat="1" ht="15" customHeight="1" x14ac:dyDescent="0.2">
      <c r="A26" s="51" t="str">
        <f>A165</f>
        <v>3.1.3. Impostos e Seguros</v>
      </c>
      <c r="B26" s="34"/>
      <c r="C26" s="35"/>
      <c r="D26" s="35"/>
      <c r="E26" s="172">
        <f>F172</f>
        <v>169.61818181818182</v>
      </c>
      <c r="F26" s="107">
        <f t="shared" si="0"/>
        <v>8.8396744992003604E-3</v>
      </c>
      <c r="G26" s="4"/>
    </row>
    <row r="27" spans="1:9" s="2" customFormat="1" ht="15" customHeight="1" x14ac:dyDescent="0.2">
      <c r="A27" s="51" t="str">
        <f>A174</f>
        <v>3.1.4. Consumos</v>
      </c>
      <c r="B27" s="34"/>
      <c r="C27" s="35"/>
      <c r="D27" s="35"/>
      <c r="E27" s="172">
        <f>F192</f>
        <v>3102.3806914285715</v>
      </c>
      <c r="F27" s="107">
        <f t="shared" si="0"/>
        <v>0.16168098956649157</v>
      </c>
      <c r="G27" s="4"/>
    </row>
    <row r="28" spans="1:9" s="2" customFormat="1" ht="15" customHeight="1" x14ac:dyDescent="0.2">
      <c r="A28" s="51" t="str">
        <f>A194</f>
        <v>3.1.5. Manutenção</v>
      </c>
      <c r="B28" s="34"/>
      <c r="C28" s="35"/>
      <c r="D28" s="35"/>
      <c r="E28" s="172">
        <f>F198</f>
        <v>1026</v>
      </c>
      <c r="F28" s="107">
        <f t="shared" si="0"/>
        <v>5.3470128844450245E-2</v>
      </c>
      <c r="G28" s="4"/>
    </row>
    <row r="29" spans="1:9" s="2" customFormat="1" ht="15" customHeight="1" x14ac:dyDescent="0.2">
      <c r="A29" s="51" t="str">
        <f>A200</f>
        <v>3.1.6. Pneus</v>
      </c>
      <c r="B29" s="34"/>
      <c r="C29" s="35"/>
      <c r="D29" s="35"/>
      <c r="E29" s="172">
        <f>F208</f>
        <v>227.0025</v>
      </c>
      <c r="F29" s="107">
        <f t="shared" si="0"/>
        <v>1.1830266006834615E-2</v>
      </c>
      <c r="G29" s="4"/>
      <c r="H29" s="3"/>
    </row>
    <row r="30" spans="1:9" s="9" customFormat="1" ht="15" customHeight="1" x14ac:dyDescent="0.2">
      <c r="A30" s="215" t="str">
        <f>A212</f>
        <v>4. Ferramentas e Materiais de Consumo</v>
      </c>
      <c r="B30" s="103"/>
      <c r="C30" s="94"/>
      <c r="D30" s="94"/>
      <c r="E30" s="171">
        <f>+F220</f>
        <v>17.833333333333332</v>
      </c>
      <c r="F30" s="95">
        <f t="shared" si="0"/>
        <v>9.2938657997988555E-4</v>
      </c>
      <c r="G30" s="32"/>
    </row>
    <row r="31" spans="1:9" s="9" customFormat="1" ht="15" customHeight="1" x14ac:dyDescent="0.2">
      <c r="A31" s="215" t="str">
        <f>A229</f>
        <v>6. Monitoramento da Frota</v>
      </c>
      <c r="B31" s="103"/>
      <c r="C31" s="94"/>
      <c r="D31" s="94"/>
      <c r="E31" s="200">
        <f>F236</f>
        <v>43.63636363636364</v>
      </c>
      <c r="F31" s="95">
        <f t="shared" si="0"/>
        <v>2.2741149960425412E-3</v>
      </c>
      <c r="G31" s="32"/>
    </row>
    <row r="32" spans="1:9" s="9" customFormat="1" ht="15" customHeight="1" thickBot="1" x14ac:dyDescent="0.25">
      <c r="A32" s="215" t="str">
        <f>A240</f>
        <v>7. Benefícios e Despesas Indiretas - BDI</v>
      </c>
      <c r="B32" s="103"/>
      <c r="C32" s="94"/>
      <c r="D32" s="94"/>
      <c r="E32" s="173">
        <f>F244</f>
        <v>4371.6725557208483</v>
      </c>
      <c r="F32" s="95">
        <f t="shared" si="0"/>
        <v>0.22783030684224254</v>
      </c>
      <c r="G32" s="32"/>
    </row>
    <row r="33" spans="1:7" s="2" customFormat="1" ht="15" customHeight="1" thickBot="1" x14ac:dyDescent="0.25">
      <c r="A33" s="30" t="s">
        <v>267</v>
      </c>
      <c r="B33" s="31"/>
      <c r="C33" s="19"/>
      <c r="D33" s="19"/>
      <c r="E33" s="87">
        <f>E14+E21+E22+E30+E31+E32</f>
        <v>19188.283667404896</v>
      </c>
      <c r="F33" s="106">
        <f>F14+F21+F22+F30++F31+F32</f>
        <v>1</v>
      </c>
      <c r="G33" s="4"/>
    </row>
    <row r="34" spans="1:7" ht="13.5" thickBot="1" x14ac:dyDescent="0.25">
      <c r="A34" s="234"/>
      <c r="B34" s="41"/>
      <c r="C34" s="41"/>
      <c r="D34" s="45"/>
      <c r="E34" s="45"/>
      <c r="F34" s="98"/>
    </row>
    <row r="35" spans="1:7" s="2" customFormat="1" ht="15.75" customHeight="1" thickBot="1" x14ac:dyDescent="0.25">
      <c r="A35" s="411" t="s">
        <v>79</v>
      </c>
      <c r="B35" s="412"/>
      <c r="C35" s="412"/>
      <c r="D35" s="412"/>
      <c r="E35" s="413"/>
      <c r="F35" s="98"/>
      <c r="G35" s="4"/>
    </row>
    <row r="36" spans="1:7" s="2" customFormat="1" ht="15" customHeight="1" thickBot="1" x14ac:dyDescent="0.25">
      <c r="A36" s="408" t="s">
        <v>32</v>
      </c>
      <c r="B36" s="409"/>
      <c r="C36" s="409"/>
      <c r="D36" s="410"/>
      <c r="E36" s="36" t="s">
        <v>33</v>
      </c>
      <c r="F36" s="98"/>
      <c r="G36" s="4"/>
    </row>
    <row r="37" spans="1:7" s="2" customFormat="1" ht="15" customHeight="1" x14ac:dyDescent="0.2">
      <c r="A37" s="59" t="str">
        <f>+A48</f>
        <v>1.1. Coletor Turno Dia</v>
      </c>
      <c r="B37" s="60"/>
      <c r="C37" s="60"/>
      <c r="D37" s="61"/>
      <c r="E37" s="62">
        <v>2</v>
      </c>
      <c r="F37" s="98"/>
      <c r="G37" s="4"/>
    </row>
    <row r="38" spans="1:7" s="2" customFormat="1" ht="15" customHeight="1" x14ac:dyDescent="0.2">
      <c r="A38" s="53" t="str">
        <f>+A57</f>
        <v>1.2. Motorista Turno do Dia</v>
      </c>
      <c r="B38" s="52"/>
      <c r="C38" s="52"/>
      <c r="D38" s="63"/>
      <c r="E38" s="56">
        <v>1</v>
      </c>
      <c r="F38" s="98"/>
      <c r="G38" s="4"/>
    </row>
    <row r="39" spans="1:7" s="2" customFormat="1" ht="15" customHeight="1" thickBot="1" x14ac:dyDescent="0.25">
      <c r="A39" s="57" t="s">
        <v>51</v>
      </c>
      <c r="B39" s="58"/>
      <c r="C39" s="58"/>
      <c r="D39" s="64"/>
      <c r="E39" s="65">
        <f>SUM(E37:E38)</f>
        <v>3</v>
      </c>
      <c r="F39" s="98"/>
      <c r="G39" s="4"/>
    </row>
    <row r="40" spans="1:7" s="2" customFormat="1" ht="15" customHeight="1" thickBot="1" x14ac:dyDescent="0.25">
      <c r="A40" s="96"/>
      <c r="B40" s="97"/>
      <c r="C40" s="45"/>
      <c r="D40" s="45"/>
      <c r="E40" s="98"/>
      <c r="F40" s="98"/>
      <c r="G40" s="4"/>
    </row>
    <row r="41" spans="1:7" s="2" customFormat="1" ht="15" customHeight="1" x14ac:dyDescent="0.2">
      <c r="A41" s="398" t="s">
        <v>49</v>
      </c>
      <c r="B41" s="399"/>
      <c r="C41" s="399"/>
      <c r="D41" s="399"/>
      <c r="E41" s="36" t="s">
        <v>33</v>
      </c>
      <c r="F41" s="245"/>
      <c r="G41" s="4"/>
    </row>
    <row r="42" spans="1:7" s="2" customFormat="1" ht="15" customHeight="1" thickBot="1" x14ac:dyDescent="0.25">
      <c r="A42" s="99" t="str">
        <f>+A129</f>
        <v>3.1. Veículo Coletor Compactador 15 m³</v>
      </c>
      <c r="B42" s="100"/>
      <c r="C42" s="100"/>
      <c r="D42" s="101"/>
      <c r="E42" s="102">
        <v>1</v>
      </c>
      <c r="F42" s="245"/>
      <c r="G42" s="4"/>
    </row>
    <row r="43" spans="1:7" s="2" customFormat="1" ht="15" customHeight="1" thickBot="1" x14ac:dyDescent="0.25">
      <c r="A43" s="246"/>
      <c r="B43" s="45"/>
      <c r="C43" s="45"/>
      <c r="D43" s="41"/>
      <c r="E43" s="170"/>
      <c r="F43" s="245"/>
      <c r="G43" s="4"/>
    </row>
    <row r="44" spans="1:7" s="9" customFormat="1" ht="15.75" customHeight="1" thickBot="1" x14ac:dyDescent="0.25">
      <c r="A44" s="175" t="s">
        <v>160</v>
      </c>
      <c r="B44" s="276">
        <f>16/44</f>
        <v>0.36363636363636365</v>
      </c>
      <c r="C44" s="26"/>
      <c r="D44" s="25"/>
      <c r="E44" s="116"/>
      <c r="F44" s="247"/>
      <c r="G44" s="32"/>
    </row>
    <row r="45" spans="1:7" s="2" customFormat="1" ht="14.1" customHeight="1" x14ac:dyDescent="0.2">
      <c r="A45" s="246"/>
      <c r="B45" s="45"/>
      <c r="C45" s="45"/>
      <c r="D45" s="41"/>
      <c r="E45" s="54"/>
      <c r="F45" s="245"/>
      <c r="G45" s="4"/>
    </row>
    <row r="46" spans="1:7" ht="14.1" customHeight="1" x14ac:dyDescent="0.2">
      <c r="A46" s="248" t="s">
        <v>40</v>
      </c>
      <c r="B46" s="41"/>
      <c r="C46" s="41"/>
      <c r="D46" s="45"/>
      <c r="E46" s="45"/>
      <c r="F46" s="98"/>
    </row>
    <row r="47" spans="1:7" ht="7.5" customHeight="1" x14ac:dyDescent="0.2">
      <c r="A47" s="234"/>
      <c r="B47" s="41"/>
      <c r="C47" s="41"/>
      <c r="D47" s="45"/>
      <c r="E47" s="45"/>
      <c r="F47" s="98"/>
    </row>
    <row r="48" spans="1:7" ht="14.1" customHeight="1" thickBot="1" x14ac:dyDescent="0.25">
      <c r="A48" s="234" t="s">
        <v>80</v>
      </c>
      <c r="B48" s="41"/>
      <c r="C48" s="41"/>
      <c r="D48" s="45"/>
      <c r="E48" s="45"/>
      <c r="F48" s="98"/>
    </row>
    <row r="49" spans="1:9" ht="14.1" customHeight="1" thickBot="1" x14ac:dyDescent="0.25">
      <c r="A49" s="46" t="s">
        <v>54</v>
      </c>
      <c r="B49" s="47" t="s">
        <v>55</v>
      </c>
      <c r="C49" s="47" t="s">
        <v>33</v>
      </c>
      <c r="D49" s="48" t="s">
        <v>185</v>
      </c>
      <c r="E49" s="48" t="s">
        <v>56</v>
      </c>
      <c r="F49" s="49" t="s">
        <v>57</v>
      </c>
    </row>
    <row r="50" spans="1:9" ht="14.1" customHeight="1" x14ac:dyDescent="0.2">
      <c r="A50" s="249" t="s">
        <v>173</v>
      </c>
      <c r="B50" s="11" t="s">
        <v>6</v>
      </c>
      <c r="C50" s="11">
        <v>2</v>
      </c>
      <c r="D50" s="70">
        <v>1816.57</v>
      </c>
      <c r="E50" s="12">
        <f>C50*D50</f>
        <v>3633.14</v>
      </c>
      <c r="F50" s="98"/>
      <c r="I50" s="196"/>
    </row>
    <row r="51" spans="1:9" ht="14.1" customHeight="1" x14ac:dyDescent="0.2">
      <c r="A51" s="250" t="s">
        <v>0</v>
      </c>
      <c r="B51" s="13" t="s">
        <v>1</v>
      </c>
      <c r="C51" s="13">
        <v>40</v>
      </c>
      <c r="D51" s="66">
        <f>SUM(E50:E50)</f>
        <v>3633.14</v>
      </c>
      <c r="E51" s="14">
        <f>C51*D51/100</f>
        <v>1453.2560000000001</v>
      </c>
      <c r="F51" s="98"/>
    </row>
    <row r="52" spans="1:9" ht="14.1" customHeight="1" x14ac:dyDescent="0.2">
      <c r="A52" s="251" t="s">
        <v>2</v>
      </c>
      <c r="B52" s="252"/>
      <c r="C52" s="252"/>
      <c r="D52" s="24"/>
      <c r="E52" s="89">
        <f>SUM(E50:E51)</f>
        <v>5086.3959999999997</v>
      </c>
      <c r="F52" s="98"/>
    </row>
    <row r="53" spans="1:9" ht="14.1" customHeight="1" x14ac:dyDescent="0.2">
      <c r="A53" s="250" t="s">
        <v>3</v>
      </c>
      <c r="B53" s="13" t="s">
        <v>1</v>
      </c>
      <c r="C53" s="214">
        <f>'4 .Encargos Sociais'!D34</f>
        <v>0.69480000000000008</v>
      </c>
      <c r="D53" s="14">
        <f>E52</f>
        <v>5086.3959999999997</v>
      </c>
      <c r="E53" s="14">
        <f>D53*C53</f>
        <v>3534.0279408000001</v>
      </c>
      <c r="F53" s="98"/>
    </row>
    <row r="54" spans="1:9" ht="14.1" customHeight="1" x14ac:dyDescent="0.2">
      <c r="A54" s="251" t="s">
        <v>61</v>
      </c>
      <c r="B54" s="252"/>
      <c r="C54" s="252"/>
      <c r="D54" s="24"/>
      <c r="E54" s="89">
        <f>E52+E53</f>
        <v>8620.4239407999994</v>
      </c>
      <c r="F54" s="98"/>
    </row>
    <row r="55" spans="1:9" ht="14.1" customHeight="1" thickBot="1" x14ac:dyDescent="0.25">
      <c r="A55" s="250" t="s">
        <v>4</v>
      </c>
      <c r="B55" s="13" t="s">
        <v>5</v>
      </c>
      <c r="C55" s="197">
        <f>E37</f>
        <v>2</v>
      </c>
      <c r="D55" s="14">
        <f>E54</f>
        <v>8620.4239407999994</v>
      </c>
      <c r="E55" s="14">
        <f>C55*D55</f>
        <v>17240.847881599999</v>
      </c>
      <c r="F55" s="98"/>
      <c r="G55" s="4"/>
    </row>
    <row r="56" spans="1:9" ht="14.1" customHeight="1" thickBot="1" x14ac:dyDescent="0.25">
      <c r="A56" s="281"/>
      <c r="B56" s="279"/>
      <c r="C56" s="279"/>
      <c r="D56" s="280" t="s">
        <v>159</v>
      </c>
      <c r="E56" s="364">
        <f>B44</f>
        <v>0.36363636363636365</v>
      </c>
      <c r="F56" s="15">
        <f>E55*E56</f>
        <v>6269.3992296727274</v>
      </c>
      <c r="G56" s="4"/>
    </row>
    <row r="57" spans="1:9" ht="14.1" customHeight="1" thickBot="1" x14ac:dyDescent="0.25">
      <c r="A57" s="242" t="s">
        <v>201</v>
      </c>
      <c r="B57" s="41"/>
      <c r="C57" s="41"/>
      <c r="D57" s="45"/>
      <c r="E57" s="45"/>
      <c r="F57" s="98"/>
    </row>
    <row r="58" spans="1:9" s="10" customFormat="1" ht="14.1" customHeight="1" thickBot="1" x14ac:dyDescent="0.25">
      <c r="A58" s="46" t="s">
        <v>54</v>
      </c>
      <c r="B58" s="47" t="s">
        <v>55</v>
      </c>
      <c r="C58" s="47" t="s">
        <v>33</v>
      </c>
      <c r="D58" s="48" t="s">
        <v>185</v>
      </c>
      <c r="E58" s="48" t="s">
        <v>56</v>
      </c>
      <c r="F58" s="49" t="s">
        <v>57</v>
      </c>
      <c r="G58" s="8"/>
    </row>
    <row r="59" spans="1:9" ht="14.1" customHeight="1" x14ac:dyDescent="0.2">
      <c r="A59" s="254" t="s">
        <v>204</v>
      </c>
      <c r="B59" s="11" t="s">
        <v>6</v>
      </c>
      <c r="C59" s="11">
        <v>1</v>
      </c>
      <c r="D59" s="70">
        <v>2350.5500000000002</v>
      </c>
      <c r="E59" s="12">
        <f>C59*D59</f>
        <v>2350.5500000000002</v>
      </c>
      <c r="F59" s="98"/>
      <c r="I59" s="198"/>
    </row>
    <row r="60" spans="1:9" ht="14.1" customHeight="1" x14ac:dyDescent="0.2">
      <c r="A60" s="255" t="s">
        <v>205</v>
      </c>
      <c r="B60" s="13" t="s">
        <v>1</v>
      </c>
      <c r="C60" s="189">
        <v>20</v>
      </c>
      <c r="D60" s="66">
        <v>1412</v>
      </c>
      <c r="E60" s="14">
        <f>C60*D60/100</f>
        <v>282.39999999999998</v>
      </c>
      <c r="F60" s="98"/>
    </row>
    <row r="61" spans="1:9" s="9" customFormat="1" ht="14.1" customHeight="1" x14ac:dyDescent="0.2">
      <c r="A61" s="256" t="s">
        <v>2</v>
      </c>
      <c r="B61" s="252"/>
      <c r="C61" s="252"/>
      <c r="D61" s="24"/>
      <c r="E61" s="82">
        <f>SUM(E59:E60)</f>
        <v>2632.9500000000003</v>
      </c>
      <c r="F61" s="257"/>
      <c r="G61" s="32"/>
    </row>
    <row r="62" spans="1:9" ht="14.1" customHeight="1" x14ac:dyDescent="0.2">
      <c r="A62" s="250" t="s">
        <v>3</v>
      </c>
      <c r="B62" s="13" t="s">
        <v>1</v>
      </c>
      <c r="C62" s="213">
        <f>'4 .Encargos Sociais'!D34</f>
        <v>0.69480000000000008</v>
      </c>
      <c r="D62" s="14">
        <f>E61</f>
        <v>2632.9500000000003</v>
      </c>
      <c r="E62" s="14">
        <f>D62*C62</f>
        <v>1829.3736600000004</v>
      </c>
      <c r="F62" s="98"/>
    </row>
    <row r="63" spans="1:9" s="9" customFormat="1" ht="14.1" customHeight="1" x14ac:dyDescent="0.2">
      <c r="A63" s="256" t="s">
        <v>192</v>
      </c>
      <c r="B63" s="181"/>
      <c r="C63" s="181"/>
      <c r="D63" s="182"/>
      <c r="E63" s="82">
        <f>E61+E62</f>
        <v>4462.3236600000009</v>
      </c>
      <c r="F63" s="257"/>
      <c r="G63" s="32"/>
    </row>
    <row r="64" spans="1:9" ht="14.1" customHeight="1" thickBot="1" x14ac:dyDescent="0.25">
      <c r="A64" s="250" t="s">
        <v>4</v>
      </c>
      <c r="B64" s="13" t="s">
        <v>5</v>
      </c>
      <c r="C64" s="197">
        <f>E38</f>
        <v>1</v>
      </c>
      <c r="D64" s="14">
        <f>E63</f>
        <v>4462.3236600000009</v>
      </c>
      <c r="E64" s="14">
        <f>C64*D64</f>
        <v>4462.3236600000009</v>
      </c>
      <c r="F64" s="98"/>
    </row>
    <row r="65" spans="1:8" ht="14.1" customHeight="1" thickBot="1" x14ac:dyDescent="0.25">
      <c r="A65" s="281"/>
      <c r="B65" s="279"/>
      <c r="C65" s="279"/>
      <c r="D65" s="280" t="s">
        <v>159</v>
      </c>
      <c r="E65" s="364">
        <f>B44</f>
        <v>0.36363636363636365</v>
      </c>
      <c r="F65" s="15">
        <f>E64*E65</f>
        <v>1622.6631490909094</v>
      </c>
    </row>
    <row r="66" spans="1:8" ht="14.1" customHeight="1" thickBot="1" x14ac:dyDescent="0.25">
      <c r="A66" s="242" t="s">
        <v>246</v>
      </c>
      <c r="B66" s="41"/>
      <c r="C66" s="41"/>
      <c r="D66" s="45"/>
      <c r="E66" s="45"/>
      <c r="F66" s="258"/>
      <c r="G66" s="7"/>
    </row>
    <row r="67" spans="1:8" ht="14.1" customHeight="1" thickBot="1" x14ac:dyDescent="0.25">
      <c r="A67" s="46" t="s">
        <v>54</v>
      </c>
      <c r="B67" s="47" t="s">
        <v>55</v>
      </c>
      <c r="C67" s="47" t="s">
        <v>33</v>
      </c>
      <c r="D67" s="48" t="s">
        <v>185</v>
      </c>
      <c r="E67" s="48" t="s">
        <v>56</v>
      </c>
      <c r="F67" s="49" t="s">
        <v>57</v>
      </c>
      <c r="G67" s="7"/>
    </row>
    <row r="68" spans="1:8" ht="14.1" customHeight="1" x14ac:dyDescent="0.2">
      <c r="A68" s="343" t="s">
        <v>202</v>
      </c>
      <c r="B68" s="344" t="s">
        <v>7</v>
      </c>
      <c r="C68" s="197">
        <v>2</v>
      </c>
      <c r="D68" s="345">
        <v>201.4</v>
      </c>
      <c r="E68" s="346">
        <f>C68*D68</f>
        <v>402.8</v>
      </c>
      <c r="F68" s="347"/>
      <c r="G68" s="7"/>
    </row>
    <row r="69" spans="1:8" ht="14.1" customHeight="1" thickBot="1" x14ac:dyDescent="0.25">
      <c r="A69" s="255" t="s">
        <v>37</v>
      </c>
      <c r="B69" s="13" t="s">
        <v>7</v>
      </c>
      <c r="C69" s="197">
        <v>1</v>
      </c>
      <c r="D69" s="74">
        <v>268.8</v>
      </c>
      <c r="E69" s="38">
        <f>C69*D69</f>
        <v>268.8</v>
      </c>
      <c r="F69" s="258"/>
      <c r="G69" s="7"/>
    </row>
    <row r="70" spans="1:8" ht="14.1" customHeight="1" thickBot="1" x14ac:dyDescent="0.25">
      <c r="A70" s="281"/>
      <c r="B70" s="279"/>
      <c r="C70" s="279"/>
      <c r="D70" s="280" t="s">
        <v>159</v>
      </c>
      <c r="E70" s="312">
        <f>B44</f>
        <v>0.36363636363636365</v>
      </c>
      <c r="F70" s="16">
        <f>SUM(E68:E69)*E70</f>
        <v>244.21818181818185</v>
      </c>
      <c r="G70" s="7"/>
    </row>
    <row r="71" spans="1:8" ht="14.1" customHeight="1" x14ac:dyDescent="0.2">
      <c r="A71" s="234"/>
      <c r="B71" s="41"/>
      <c r="C71" s="41"/>
      <c r="D71" s="253"/>
      <c r="E71" s="340"/>
      <c r="F71" s="258"/>
      <c r="G71" s="7"/>
    </row>
    <row r="72" spans="1:8" s="5" customFormat="1" ht="14.1" customHeight="1" thickBot="1" x14ac:dyDescent="0.25">
      <c r="A72" s="242" t="s">
        <v>233</v>
      </c>
      <c r="B72" s="348"/>
      <c r="C72" s="104"/>
      <c r="D72" s="104"/>
      <c r="E72" s="349"/>
      <c r="F72" s="267"/>
    </row>
    <row r="73" spans="1:8" s="5" customFormat="1" ht="14.1" customHeight="1" thickBot="1" x14ac:dyDescent="0.25">
      <c r="A73" s="46" t="s">
        <v>54</v>
      </c>
      <c r="B73" s="47" t="s">
        <v>55</v>
      </c>
      <c r="C73" s="47" t="s">
        <v>33</v>
      </c>
      <c r="D73" s="48" t="s">
        <v>185</v>
      </c>
      <c r="E73" s="48" t="s">
        <v>56</v>
      </c>
      <c r="F73" s="49" t="s">
        <v>57</v>
      </c>
    </row>
    <row r="74" spans="1:8" s="5" customFormat="1" ht="14.1" customHeight="1" x14ac:dyDescent="0.2">
      <c r="A74" s="255" t="s">
        <v>234</v>
      </c>
      <c r="B74" s="201" t="s">
        <v>29</v>
      </c>
      <c r="C74" s="197">
        <v>1</v>
      </c>
      <c r="D74" s="342">
        <v>4.8</v>
      </c>
      <c r="E74" s="330"/>
      <c r="F74" s="267"/>
    </row>
    <row r="75" spans="1:8" s="5" customFormat="1" ht="14.1" customHeight="1" x14ac:dyDescent="0.2">
      <c r="A75" s="255" t="s">
        <v>235</v>
      </c>
      <c r="B75" s="201" t="s">
        <v>236</v>
      </c>
      <c r="C75" s="197">
        <v>17</v>
      </c>
      <c r="D75" s="330"/>
      <c r="E75" s="330"/>
      <c r="F75" s="267"/>
      <c r="G75" s="341"/>
      <c r="H75" s="341"/>
    </row>
    <row r="76" spans="1:8" s="5" customFormat="1" ht="14.1" customHeight="1" x14ac:dyDescent="0.2">
      <c r="A76" s="255" t="s">
        <v>237</v>
      </c>
      <c r="B76" s="201" t="s">
        <v>238</v>
      </c>
      <c r="C76" s="197">
        <f>C75*2*C55</f>
        <v>68</v>
      </c>
      <c r="D76" s="338">
        <f>IFERROR((($C$76*2*$D$74)-(D50*0.06*C76/26))/($C$76*2),"-")</f>
        <v>2.703957692307692</v>
      </c>
      <c r="E76" s="330">
        <f>IFERROR(C76*D76,"-")</f>
        <v>183.86912307692305</v>
      </c>
      <c r="F76" s="267"/>
      <c r="G76" s="193"/>
      <c r="H76" s="341"/>
    </row>
    <row r="77" spans="1:8" s="5" customFormat="1" ht="14.1" customHeight="1" x14ac:dyDescent="0.2">
      <c r="A77" s="254" t="s">
        <v>239</v>
      </c>
      <c r="B77" s="206" t="s">
        <v>238</v>
      </c>
      <c r="C77" s="197">
        <f>C45*C75*2</f>
        <v>0</v>
      </c>
      <c r="D77" s="338">
        <f>IFERROR((($C$76*2*$D$74)-(D51*0.06*C77/26))/($C$76*2),"-")</f>
        <v>4.8</v>
      </c>
      <c r="E77" s="338">
        <f>IFERROR(C77*D77,"-")</f>
        <v>0</v>
      </c>
      <c r="F77" s="267"/>
      <c r="G77" s="193"/>
      <c r="H77" s="341"/>
    </row>
    <row r="78" spans="1:8" s="5" customFormat="1" ht="14.1" customHeight="1" thickBot="1" x14ac:dyDescent="0.25">
      <c r="A78" s="254" t="s">
        <v>37</v>
      </c>
      <c r="B78" s="206" t="s">
        <v>238</v>
      </c>
      <c r="C78" s="197">
        <f>$C$75*2*(C64)</f>
        <v>34</v>
      </c>
      <c r="D78" s="338">
        <f>IFERROR((($C$78*2*$D$74)-(D59*0.06*C78/26))/($C$78*2),"-")</f>
        <v>2.0878269230769226</v>
      </c>
      <c r="E78" s="338">
        <f>IFERROR(C78*D78,"-")</f>
        <v>70.986115384615374</v>
      </c>
      <c r="F78" s="267"/>
      <c r="H78" s="341"/>
    </row>
    <row r="79" spans="1:8" s="5" customFormat="1" ht="14.1" customHeight="1" thickBot="1" x14ac:dyDescent="0.25">
      <c r="A79" s="242"/>
      <c r="B79" s="104"/>
      <c r="C79" s="104"/>
      <c r="D79" s="210"/>
      <c r="E79" s="210"/>
      <c r="F79" s="16">
        <f>SUM(E76:E78)</f>
        <v>254.85523846153842</v>
      </c>
    </row>
    <row r="80" spans="1:8" s="5" customFormat="1" ht="14.1" customHeight="1" x14ac:dyDescent="0.2">
      <c r="A80" s="242"/>
      <c r="B80" s="104"/>
      <c r="C80" s="104"/>
      <c r="D80" s="210"/>
      <c r="E80" s="210"/>
      <c r="F80" s="257"/>
    </row>
    <row r="81" spans="1:7" s="5" customFormat="1" ht="14.1" customHeight="1" thickBot="1" x14ac:dyDescent="0.25">
      <c r="A81" s="242" t="s">
        <v>241</v>
      </c>
      <c r="B81" s="104"/>
      <c r="C81" s="104"/>
      <c r="D81" s="210"/>
      <c r="E81" s="210"/>
      <c r="F81" s="258"/>
    </row>
    <row r="82" spans="1:7" s="5" customFormat="1" ht="14.1" customHeight="1" thickBot="1" x14ac:dyDescent="0.25">
      <c r="A82" s="46" t="s">
        <v>54</v>
      </c>
      <c r="B82" s="47" t="s">
        <v>55</v>
      </c>
      <c r="C82" s="47" t="s">
        <v>33</v>
      </c>
      <c r="D82" s="48" t="s">
        <v>185</v>
      </c>
      <c r="E82" s="48" t="s">
        <v>56</v>
      </c>
      <c r="F82" s="49" t="s">
        <v>57</v>
      </c>
    </row>
    <row r="83" spans="1:7" s="5" customFormat="1" ht="14.1" customHeight="1" thickBot="1" x14ac:dyDescent="0.25">
      <c r="A83" s="255" t="s">
        <v>247</v>
      </c>
      <c r="B83" s="201" t="s">
        <v>7</v>
      </c>
      <c r="C83" s="353">
        <v>2</v>
      </c>
      <c r="D83" s="360">
        <v>19.420000000000002</v>
      </c>
      <c r="E83" s="354">
        <f>C83*D83</f>
        <v>38.840000000000003</v>
      </c>
      <c r="F83" s="258"/>
    </row>
    <row r="84" spans="1:7" s="5" customFormat="1" ht="14.1" customHeight="1" thickBot="1" x14ac:dyDescent="0.25">
      <c r="A84" s="361"/>
      <c r="B84" s="355"/>
      <c r="C84" s="104"/>
      <c r="D84" s="269" t="s">
        <v>240</v>
      </c>
      <c r="E84" s="356">
        <f>B44</f>
        <v>0.36363636363636365</v>
      </c>
      <c r="F84" s="357">
        <f>SUM(E83:E83)*E84</f>
        <v>14.123636363636365</v>
      </c>
    </row>
    <row r="85" spans="1:7" s="5" customFormat="1" ht="14.1" customHeight="1" x14ac:dyDescent="0.2">
      <c r="A85" s="362"/>
      <c r="B85" s="358"/>
      <c r="C85" s="104"/>
      <c r="D85" s="269"/>
      <c r="E85" s="359"/>
      <c r="F85" s="257"/>
    </row>
    <row r="86" spans="1:7" s="5" customFormat="1" ht="14.1" customHeight="1" thickBot="1" x14ac:dyDescent="0.25">
      <c r="A86" s="242" t="s">
        <v>242</v>
      </c>
      <c r="B86" s="104"/>
      <c r="C86" s="104"/>
      <c r="D86" s="210"/>
      <c r="E86" s="210"/>
      <c r="F86" s="258"/>
    </row>
    <row r="87" spans="1:7" s="5" customFormat="1" ht="14.1" customHeight="1" thickBot="1" x14ac:dyDescent="0.25">
      <c r="A87" s="46" t="s">
        <v>54</v>
      </c>
      <c r="B87" s="47" t="s">
        <v>55</v>
      </c>
      <c r="C87" s="47" t="s">
        <v>33</v>
      </c>
      <c r="D87" s="48" t="s">
        <v>185</v>
      </c>
      <c r="E87" s="48" t="s">
        <v>56</v>
      </c>
      <c r="F87" s="49" t="s">
        <v>57</v>
      </c>
    </row>
    <row r="88" spans="1:7" s="5" customFormat="1" ht="14.1" customHeight="1" x14ac:dyDescent="0.2">
      <c r="A88" s="255" t="s">
        <v>243</v>
      </c>
      <c r="B88" s="201" t="s">
        <v>244</v>
      </c>
      <c r="C88" s="353">
        <f>C64</f>
        <v>1</v>
      </c>
      <c r="D88" s="360">
        <v>99</v>
      </c>
      <c r="E88" s="208">
        <f>C88*D88</f>
        <v>99</v>
      </c>
      <c r="F88" s="258"/>
    </row>
    <row r="89" spans="1:7" ht="14.1" customHeight="1" thickBot="1" x14ac:dyDescent="0.25">
      <c r="A89" s="255" t="s">
        <v>245</v>
      </c>
      <c r="B89" s="201" t="s">
        <v>244</v>
      </c>
      <c r="C89" s="353">
        <f>C64</f>
        <v>1</v>
      </c>
      <c r="D89" s="360">
        <v>101.4</v>
      </c>
      <c r="E89" s="208">
        <f>C89*D89</f>
        <v>101.4</v>
      </c>
      <c r="F89" s="258"/>
      <c r="G89" s="7"/>
    </row>
    <row r="90" spans="1:7" ht="14.1" customHeight="1" thickBot="1" x14ac:dyDescent="0.25">
      <c r="A90" s="242"/>
      <c r="B90" s="104"/>
      <c r="C90" s="104"/>
      <c r="D90" s="269" t="s">
        <v>159</v>
      </c>
      <c r="E90" s="356">
        <f>B44</f>
        <v>0.36363636363636365</v>
      </c>
      <c r="F90" s="16">
        <f>SUM(E88:E89)*E90</f>
        <v>72.872727272727275</v>
      </c>
      <c r="G90" s="7"/>
    </row>
    <row r="91" spans="1:7" ht="14.1" customHeight="1" thickBot="1" x14ac:dyDescent="0.25">
      <c r="A91" s="242"/>
      <c r="B91" s="104"/>
      <c r="C91" s="104"/>
      <c r="D91" s="269"/>
      <c r="E91" s="359"/>
      <c r="F91" s="98"/>
      <c r="G91" s="7"/>
    </row>
    <row r="92" spans="1:7" ht="14.1" customHeight="1" thickBot="1" x14ac:dyDescent="0.25">
      <c r="A92" s="17" t="s">
        <v>77</v>
      </c>
      <c r="B92" s="18"/>
      <c r="C92" s="18"/>
      <c r="D92" s="19"/>
      <c r="E92" s="20"/>
      <c r="F92" s="16">
        <f>F56+F65+F70+F79+F84+F90</f>
        <v>8478.1321626797198</v>
      </c>
      <c r="G92" s="7"/>
    </row>
    <row r="93" spans="1:7" ht="14.1" customHeight="1" x14ac:dyDescent="0.2">
      <c r="A93" s="242"/>
      <c r="B93" s="104"/>
      <c r="C93" s="104"/>
      <c r="D93" s="269"/>
      <c r="E93" s="359"/>
      <c r="F93" s="98"/>
      <c r="G93" s="7"/>
    </row>
    <row r="94" spans="1:7" ht="14.1" customHeight="1" x14ac:dyDescent="0.2">
      <c r="A94" s="277" t="s">
        <v>38</v>
      </c>
      <c r="B94" s="41"/>
      <c r="C94" s="41"/>
      <c r="D94" s="45"/>
      <c r="E94" s="45"/>
      <c r="F94" s="98"/>
      <c r="G94" s="7"/>
    </row>
    <row r="95" spans="1:7" ht="14.1" customHeight="1" x14ac:dyDescent="0.2">
      <c r="A95" s="234"/>
      <c r="B95" s="41"/>
      <c r="C95" s="41"/>
      <c r="D95" s="45"/>
      <c r="E95" s="45"/>
      <c r="F95" s="98"/>
      <c r="G95" s="7"/>
    </row>
    <row r="96" spans="1:7" ht="14.1" customHeight="1" x14ac:dyDescent="0.2">
      <c r="A96" s="234" t="s">
        <v>161</v>
      </c>
      <c r="B96" s="41"/>
      <c r="C96" s="41"/>
      <c r="D96" s="45"/>
      <c r="E96" s="45"/>
      <c r="F96" s="98"/>
      <c r="G96" s="7"/>
    </row>
    <row r="97" spans="1:7" ht="11.25" customHeight="1" thickBot="1" x14ac:dyDescent="0.25">
      <c r="A97" s="272"/>
      <c r="B97" s="273"/>
      <c r="C97" s="273"/>
      <c r="D97" s="274"/>
      <c r="E97" s="274"/>
      <c r="F97" s="275"/>
      <c r="G97" s="7"/>
    </row>
    <row r="98" spans="1:7" ht="30.75" customHeight="1" thickBot="1" x14ac:dyDescent="0.25">
      <c r="A98" s="46" t="s">
        <v>54</v>
      </c>
      <c r="B98" s="47" t="s">
        <v>55</v>
      </c>
      <c r="C98" s="183" t="s">
        <v>193</v>
      </c>
      <c r="D98" s="48" t="s">
        <v>185</v>
      </c>
      <c r="E98" s="48" t="s">
        <v>56</v>
      </c>
      <c r="F98" s="49" t="s">
        <v>57</v>
      </c>
      <c r="G98" s="7"/>
    </row>
    <row r="99" spans="1:7" ht="14.1" customHeight="1" x14ac:dyDescent="0.2">
      <c r="A99" s="363" t="s">
        <v>248</v>
      </c>
      <c r="B99" s="11" t="s">
        <v>7</v>
      </c>
      <c r="C99" s="72">
        <v>12</v>
      </c>
      <c r="D99" s="70">
        <v>150</v>
      </c>
      <c r="E99" s="338">
        <f>IFERROR(D99/C99,0)</f>
        <v>12.5</v>
      </c>
      <c r="F99" s="98"/>
      <c r="G99" s="7"/>
    </row>
    <row r="100" spans="1:7" ht="14.1" customHeight="1" x14ac:dyDescent="0.2">
      <c r="A100" s="250" t="s">
        <v>25</v>
      </c>
      <c r="B100" s="13" t="s">
        <v>7</v>
      </c>
      <c r="C100" s="72">
        <v>4</v>
      </c>
      <c r="D100" s="70">
        <v>65</v>
      </c>
      <c r="E100" s="338">
        <f t="shared" ref="E100:E109" si="1">IFERROR(D100/C100,0)</f>
        <v>16.25</v>
      </c>
      <c r="F100" s="98"/>
      <c r="G100" s="7"/>
    </row>
    <row r="101" spans="1:7" ht="14.1" customHeight="1" x14ac:dyDescent="0.2">
      <c r="A101" s="255" t="s">
        <v>252</v>
      </c>
      <c r="B101" s="13" t="s">
        <v>7</v>
      </c>
      <c r="C101" s="72">
        <v>4</v>
      </c>
      <c r="D101" s="70">
        <v>28</v>
      </c>
      <c r="E101" s="338">
        <f t="shared" si="1"/>
        <v>7</v>
      </c>
      <c r="F101" s="98"/>
      <c r="G101" s="7"/>
    </row>
    <row r="102" spans="1:7" ht="14.1" customHeight="1" x14ac:dyDescent="0.2">
      <c r="A102" s="255" t="s">
        <v>249</v>
      </c>
      <c r="B102" s="13" t="s">
        <v>7</v>
      </c>
      <c r="C102" s="72">
        <v>3</v>
      </c>
      <c r="D102" s="70">
        <v>26</v>
      </c>
      <c r="E102" s="338">
        <f t="shared" si="1"/>
        <v>8.6666666666666661</v>
      </c>
      <c r="F102" s="98"/>
      <c r="G102" s="7"/>
    </row>
    <row r="103" spans="1:7" ht="14.1" customHeight="1" x14ac:dyDescent="0.2">
      <c r="A103" s="255" t="s">
        <v>250</v>
      </c>
      <c r="B103" s="13" t="s">
        <v>7</v>
      </c>
      <c r="C103" s="72">
        <v>3</v>
      </c>
      <c r="D103" s="70">
        <v>30</v>
      </c>
      <c r="E103" s="338">
        <f t="shared" si="1"/>
        <v>10</v>
      </c>
      <c r="F103" s="98"/>
      <c r="G103" s="7"/>
    </row>
    <row r="104" spans="1:7" ht="14.1" customHeight="1" x14ac:dyDescent="0.2">
      <c r="A104" s="250" t="s">
        <v>27</v>
      </c>
      <c r="B104" s="13" t="s">
        <v>7</v>
      </c>
      <c r="C104" s="72">
        <v>4</v>
      </c>
      <c r="D104" s="70">
        <v>18</v>
      </c>
      <c r="E104" s="338">
        <f t="shared" si="1"/>
        <v>4.5</v>
      </c>
      <c r="F104" s="98"/>
      <c r="G104" s="7"/>
    </row>
    <row r="105" spans="1:7" ht="14.1" customHeight="1" x14ac:dyDescent="0.2">
      <c r="A105" s="255" t="s">
        <v>206</v>
      </c>
      <c r="B105" s="13" t="s">
        <v>41</v>
      </c>
      <c r="C105" s="72">
        <v>4</v>
      </c>
      <c r="D105" s="70">
        <v>70</v>
      </c>
      <c r="E105" s="338">
        <f t="shared" si="1"/>
        <v>17.5</v>
      </c>
      <c r="F105" s="98"/>
      <c r="G105" s="7"/>
    </row>
    <row r="106" spans="1:7" ht="14.1" customHeight="1" x14ac:dyDescent="0.2">
      <c r="A106" s="250" t="s">
        <v>78</v>
      </c>
      <c r="B106" s="13" t="s">
        <v>41</v>
      </c>
      <c r="C106" s="72">
        <v>2</v>
      </c>
      <c r="D106" s="70">
        <v>10</v>
      </c>
      <c r="E106" s="338">
        <f t="shared" si="1"/>
        <v>5</v>
      </c>
      <c r="F106" s="98"/>
    </row>
    <row r="107" spans="1:7" ht="14.1" customHeight="1" x14ac:dyDescent="0.2">
      <c r="A107" s="250" t="s">
        <v>58</v>
      </c>
      <c r="B107" s="13" t="s">
        <v>7</v>
      </c>
      <c r="C107" s="72">
        <v>6</v>
      </c>
      <c r="D107" s="70">
        <v>67</v>
      </c>
      <c r="E107" s="338">
        <f t="shared" si="1"/>
        <v>11.166666666666666</v>
      </c>
      <c r="F107" s="98"/>
    </row>
    <row r="108" spans="1:7" ht="14.1" customHeight="1" x14ac:dyDescent="0.2">
      <c r="A108" s="250" t="s">
        <v>28</v>
      </c>
      <c r="B108" s="13" t="s">
        <v>41</v>
      </c>
      <c r="C108" s="72">
        <v>0.5</v>
      </c>
      <c r="D108" s="70">
        <v>10</v>
      </c>
      <c r="E108" s="338">
        <f t="shared" si="1"/>
        <v>20</v>
      </c>
      <c r="F108" s="98"/>
    </row>
    <row r="109" spans="1:7" ht="14.1" customHeight="1" x14ac:dyDescent="0.2">
      <c r="A109" s="250" t="s">
        <v>53</v>
      </c>
      <c r="B109" s="13" t="s">
        <v>42</v>
      </c>
      <c r="C109" s="72">
        <v>2</v>
      </c>
      <c r="D109" s="70">
        <v>15</v>
      </c>
      <c r="E109" s="338">
        <f t="shared" si="1"/>
        <v>7.5</v>
      </c>
      <c r="F109" s="98"/>
    </row>
    <row r="110" spans="1:7" ht="14.1" customHeight="1" thickBot="1" x14ac:dyDescent="0.25">
      <c r="A110" s="250" t="s">
        <v>4</v>
      </c>
      <c r="B110" s="13" t="s">
        <v>5</v>
      </c>
      <c r="C110" s="55">
        <f>E37</f>
        <v>2</v>
      </c>
      <c r="D110" s="14">
        <f>SUM(E99:E109)</f>
        <v>120.08333333333333</v>
      </c>
      <c r="E110" s="278">
        <f>C110*D110</f>
        <v>240.16666666666666</v>
      </c>
      <c r="F110" s="98"/>
    </row>
    <row r="111" spans="1:7" ht="14.1" customHeight="1" thickBot="1" x14ac:dyDescent="0.25">
      <c r="A111" s="281"/>
      <c r="B111" s="279"/>
      <c r="C111" s="279"/>
      <c r="D111" s="280" t="s">
        <v>159</v>
      </c>
      <c r="E111" s="365">
        <f>$B$44</f>
        <v>0.36363636363636365</v>
      </c>
      <c r="F111" s="91">
        <f>E110*E111</f>
        <v>87.333333333333329</v>
      </c>
    </row>
    <row r="112" spans="1:7" ht="14.1" customHeight="1" x14ac:dyDescent="0.2">
      <c r="A112" s="234"/>
      <c r="B112" s="41"/>
      <c r="C112" s="41"/>
      <c r="D112" s="45"/>
      <c r="E112" s="45"/>
      <c r="F112" s="98"/>
    </row>
    <row r="113" spans="1:7" ht="14.1" customHeight="1" x14ac:dyDescent="0.2">
      <c r="A113" s="242" t="s">
        <v>203</v>
      </c>
      <c r="B113" s="41"/>
      <c r="C113" s="41"/>
      <c r="D113" s="45"/>
      <c r="E113" s="45"/>
      <c r="F113" s="98"/>
      <c r="G113" s="195"/>
    </row>
    <row r="114" spans="1:7" ht="14.1" customHeight="1" thickBot="1" x14ac:dyDescent="0.25">
      <c r="A114" s="234"/>
      <c r="B114" s="41"/>
      <c r="C114" s="41"/>
      <c r="D114" s="45"/>
      <c r="E114" s="45"/>
      <c r="F114" s="98"/>
    </row>
    <row r="115" spans="1:7" ht="28.5" customHeight="1" thickBot="1" x14ac:dyDescent="0.25">
      <c r="A115" s="46" t="s">
        <v>54</v>
      </c>
      <c r="B115" s="47" t="s">
        <v>55</v>
      </c>
      <c r="C115" s="183" t="s">
        <v>193</v>
      </c>
      <c r="D115" s="48" t="s">
        <v>185</v>
      </c>
      <c r="E115" s="48" t="s">
        <v>56</v>
      </c>
      <c r="F115" s="49" t="s">
        <v>57</v>
      </c>
    </row>
    <row r="116" spans="1:7" ht="14.1" customHeight="1" x14ac:dyDescent="0.2">
      <c r="A116" s="254" t="s">
        <v>251</v>
      </c>
      <c r="B116" s="13" t="s">
        <v>7</v>
      </c>
      <c r="C116" s="72">
        <v>12</v>
      </c>
      <c r="D116" s="70">
        <v>150</v>
      </c>
      <c r="E116" s="338">
        <f>IFERROR(D116/C116,0)</f>
        <v>12.5</v>
      </c>
      <c r="F116" s="98"/>
    </row>
    <row r="117" spans="1:7" ht="14.1" customHeight="1" x14ac:dyDescent="0.2">
      <c r="A117" s="250" t="s">
        <v>25</v>
      </c>
      <c r="B117" s="13" t="s">
        <v>7</v>
      </c>
      <c r="C117" s="72">
        <v>4</v>
      </c>
      <c r="D117" s="70">
        <v>65</v>
      </c>
      <c r="E117" s="338">
        <f t="shared" ref="E117:E121" si="2">IFERROR(D117/C117,0)</f>
        <v>16.25</v>
      </c>
      <c r="F117" s="98"/>
    </row>
    <row r="118" spans="1:7" ht="14.1" customHeight="1" x14ac:dyDescent="0.2">
      <c r="A118" s="250" t="s">
        <v>26</v>
      </c>
      <c r="B118" s="13" t="s">
        <v>7</v>
      </c>
      <c r="C118" s="72">
        <v>3</v>
      </c>
      <c r="D118" s="70">
        <v>26</v>
      </c>
      <c r="E118" s="338">
        <f t="shared" si="2"/>
        <v>8.6666666666666661</v>
      </c>
      <c r="F118" s="98"/>
    </row>
    <row r="119" spans="1:7" ht="14.1" customHeight="1" x14ac:dyDescent="0.2">
      <c r="A119" s="255" t="s">
        <v>207</v>
      </c>
      <c r="B119" s="13" t="s">
        <v>41</v>
      </c>
      <c r="C119" s="72">
        <v>4</v>
      </c>
      <c r="D119" s="70">
        <v>70</v>
      </c>
      <c r="E119" s="338">
        <f t="shared" si="2"/>
        <v>17.5</v>
      </c>
      <c r="F119" s="98"/>
    </row>
    <row r="120" spans="1:7" ht="14.1" customHeight="1" x14ac:dyDescent="0.2">
      <c r="A120" s="250" t="s">
        <v>58</v>
      </c>
      <c r="B120" s="13" t="s">
        <v>41</v>
      </c>
      <c r="C120" s="72">
        <v>6</v>
      </c>
      <c r="D120" s="70">
        <v>67</v>
      </c>
      <c r="E120" s="338">
        <f t="shared" si="2"/>
        <v>11.166666666666666</v>
      </c>
      <c r="F120" s="98"/>
    </row>
    <row r="121" spans="1:7" ht="14.1" customHeight="1" x14ac:dyDescent="0.2">
      <c r="A121" s="250" t="s">
        <v>53</v>
      </c>
      <c r="B121" s="13" t="s">
        <v>42</v>
      </c>
      <c r="C121" s="72">
        <v>2</v>
      </c>
      <c r="D121" s="70">
        <v>15</v>
      </c>
      <c r="E121" s="338">
        <f t="shared" si="2"/>
        <v>7.5</v>
      </c>
      <c r="F121" s="98"/>
      <c r="G121" s="7"/>
    </row>
    <row r="122" spans="1:7" ht="14.1" customHeight="1" thickBot="1" x14ac:dyDescent="0.25">
      <c r="A122" s="250" t="s">
        <v>4</v>
      </c>
      <c r="B122" s="13" t="s">
        <v>5</v>
      </c>
      <c r="C122" s="55">
        <f>E38</f>
        <v>1</v>
      </c>
      <c r="D122" s="14">
        <f>SUM(E116:E121)</f>
        <v>73.583333333333329</v>
      </c>
      <c r="E122" s="14">
        <f>C122*D122</f>
        <v>73.583333333333329</v>
      </c>
      <c r="F122" s="98"/>
      <c r="G122" s="7"/>
    </row>
    <row r="123" spans="1:7" ht="14.1" customHeight="1" thickBot="1" x14ac:dyDescent="0.25">
      <c r="A123" s="281"/>
      <c r="B123" s="279"/>
      <c r="C123" s="279"/>
      <c r="D123" s="280" t="s">
        <v>159</v>
      </c>
      <c r="E123" s="312">
        <f>B44</f>
        <v>0.36363636363636365</v>
      </c>
      <c r="F123" s="91">
        <f>E122*E123</f>
        <v>26.757575757575758</v>
      </c>
      <c r="G123" s="7"/>
    </row>
    <row r="124" spans="1:7" ht="14.1" customHeight="1" thickBot="1" x14ac:dyDescent="0.25">
      <c r="A124" s="234"/>
      <c r="B124" s="41"/>
      <c r="C124" s="41"/>
      <c r="D124" s="45"/>
      <c r="E124" s="45"/>
      <c r="F124" s="98"/>
      <c r="G124" s="7"/>
    </row>
    <row r="125" spans="1:7" ht="14.1" customHeight="1" thickBot="1" x14ac:dyDescent="0.25">
      <c r="A125" s="17" t="s">
        <v>162</v>
      </c>
      <c r="B125" s="21"/>
      <c r="C125" s="21"/>
      <c r="D125" s="22"/>
      <c r="E125" s="23"/>
      <c r="F125" s="15">
        <f>+F111+F123</f>
        <v>114.09090909090909</v>
      </c>
      <c r="G125" s="7"/>
    </row>
    <row r="126" spans="1:7" ht="14.1" customHeight="1" x14ac:dyDescent="0.2">
      <c r="A126" s="234"/>
      <c r="B126" s="41"/>
      <c r="C126" s="41"/>
      <c r="D126" s="45"/>
      <c r="E126" s="45"/>
      <c r="F126" s="98"/>
      <c r="G126" s="7"/>
    </row>
    <row r="127" spans="1:7" ht="14.1" customHeight="1" x14ac:dyDescent="0.2">
      <c r="A127" s="248" t="s">
        <v>47</v>
      </c>
      <c r="B127" s="41"/>
      <c r="C127" s="41"/>
      <c r="D127" s="45"/>
      <c r="E127" s="45"/>
      <c r="F127" s="98"/>
      <c r="G127" s="7"/>
    </row>
    <row r="128" spans="1:7" ht="14.1" customHeight="1" x14ac:dyDescent="0.2">
      <c r="A128" s="234"/>
      <c r="B128" s="259"/>
      <c r="C128" s="41"/>
      <c r="D128" s="45"/>
      <c r="E128" s="45"/>
      <c r="F128" s="98"/>
      <c r="G128" s="7"/>
    </row>
    <row r="129" spans="1:10" ht="14.1" customHeight="1" x14ac:dyDescent="0.2">
      <c r="A129" s="242" t="s">
        <v>200</v>
      </c>
      <c r="B129" s="41"/>
      <c r="C129" s="41"/>
      <c r="D129" s="45"/>
      <c r="E129" s="45"/>
      <c r="F129" s="98"/>
      <c r="G129" s="7"/>
    </row>
    <row r="130" spans="1:10" ht="14.1" customHeight="1" x14ac:dyDescent="0.2">
      <c r="A130" s="234"/>
      <c r="B130" s="41"/>
      <c r="C130" s="41"/>
      <c r="D130" s="45"/>
      <c r="E130" s="45"/>
      <c r="F130" s="98"/>
      <c r="G130" s="7"/>
    </row>
    <row r="131" spans="1:10" ht="14.1" customHeight="1" x14ac:dyDescent="0.2">
      <c r="A131" s="285" t="s">
        <v>39</v>
      </c>
      <c r="B131" s="41"/>
      <c r="C131" s="41"/>
      <c r="D131" s="45"/>
      <c r="E131" s="45"/>
      <c r="F131" s="98"/>
      <c r="G131" s="7"/>
    </row>
    <row r="132" spans="1:10" ht="14.1" customHeight="1" thickBot="1" x14ac:dyDescent="0.25">
      <c r="A132" s="260"/>
      <c r="B132" s="41"/>
      <c r="C132" s="41"/>
      <c r="D132" s="45"/>
      <c r="E132" s="45"/>
      <c r="F132" s="98"/>
      <c r="G132" s="7"/>
    </row>
    <row r="133" spans="1:10" ht="14.1" customHeight="1" thickBot="1" x14ac:dyDescent="0.25">
      <c r="A133" s="46" t="s">
        <v>54</v>
      </c>
      <c r="B133" s="47" t="s">
        <v>55</v>
      </c>
      <c r="C133" s="47" t="s">
        <v>33</v>
      </c>
      <c r="D133" s="48" t="s">
        <v>185</v>
      </c>
      <c r="E133" s="48" t="s">
        <v>56</v>
      </c>
      <c r="F133" s="49" t="s">
        <v>57</v>
      </c>
      <c r="G133" s="7"/>
    </row>
    <row r="134" spans="1:10" ht="14.1" customHeight="1" x14ac:dyDescent="0.2">
      <c r="A134" s="249" t="s">
        <v>87</v>
      </c>
      <c r="B134" s="11" t="s">
        <v>7</v>
      </c>
      <c r="C134" s="188">
        <v>1</v>
      </c>
      <c r="D134" s="70">
        <v>300000</v>
      </c>
      <c r="E134" s="12">
        <f>C134*D134</f>
        <v>300000</v>
      </c>
      <c r="F134" s="98"/>
      <c r="G134" s="7"/>
    </row>
    <row r="135" spans="1:10" ht="14.1" customHeight="1" x14ac:dyDescent="0.2">
      <c r="A135" s="250" t="s">
        <v>81</v>
      </c>
      <c r="B135" s="13" t="s">
        <v>82</v>
      </c>
      <c r="C135" s="69">
        <v>10</v>
      </c>
      <c r="D135" s="66"/>
      <c r="E135" s="14"/>
      <c r="F135" s="98"/>
      <c r="G135" s="7"/>
    </row>
    <row r="136" spans="1:10" ht="14.1" customHeight="1" x14ac:dyDescent="0.2">
      <c r="A136" s="250" t="s">
        <v>168</v>
      </c>
      <c r="B136" s="13" t="s">
        <v>82</v>
      </c>
      <c r="C136" s="69">
        <v>0</v>
      </c>
      <c r="D136" s="14"/>
      <c r="E136" s="14"/>
      <c r="F136" s="261"/>
      <c r="I136" s="68"/>
      <c r="J136" s="68"/>
    </row>
    <row r="137" spans="1:10" ht="14.1" customHeight="1" x14ac:dyDescent="0.2">
      <c r="A137" s="250" t="s">
        <v>85</v>
      </c>
      <c r="B137" s="13" t="s">
        <v>1</v>
      </c>
      <c r="C137" s="199">
        <v>65.180000000000007</v>
      </c>
      <c r="D137" s="14">
        <f>E134</f>
        <v>300000</v>
      </c>
      <c r="E137" s="14">
        <f>C137*D137/100</f>
        <v>195540.00000000003</v>
      </c>
      <c r="F137" s="98"/>
    </row>
    <row r="138" spans="1:10" ht="14.1" customHeight="1" thickBot="1" x14ac:dyDescent="0.25">
      <c r="A138" s="262" t="s">
        <v>43</v>
      </c>
      <c r="B138" s="190" t="s">
        <v>6</v>
      </c>
      <c r="C138" s="190">
        <f>C135*12</f>
        <v>120</v>
      </c>
      <c r="D138" s="191">
        <f>IF(C136&lt;=C135,E137,0)</f>
        <v>195540.00000000003</v>
      </c>
      <c r="E138" s="191">
        <f>IFERROR(D138/C138,0)</f>
        <v>1629.5000000000002</v>
      </c>
      <c r="F138" s="98"/>
    </row>
    <row r="139" spans="1:10" ht="14.1" customHeight="1" thickTop="1" x14ac:dyDescent="0.2">
      <c r="A139" s="249" t="s">
        <v>86</v>
      </c>
      <c r="B139" s="11" t="s">
        <v>7</v>
      </c>
      <c r="C139" s="11">
        <f>C134</f>
        <v>1</v>
      </c>
      <c r="D139" s="70">
        <v>130000</v>
      </c>
      <c r="E139" s="12">
        <f>C139*D139</f>
        <v>130000</v>
      </c>
      <c r="F139" s="98"/>
      <c r="G139" s="7"/>
    </row>
    <row r="140" spans="1:10" ht="14.1" customHeight="1" x14ac:dyDescent="0.2">
      <c r="A140" s="250" t="s">
        <v>83</v>
      </c>
      <c r="B140" s="13" t="s">
        <v>82</v>
      </c>
      <c r="C140" s="69">
        <v>10</v>
      </c>
      <c r="D140" s="14"/>
      <c r="E140" s="14"/>
      <c r="F140" s="98"/>
    </row>
    <row r="141" spans="1:10" ht="14.1" customHeight="1" x14ac:dyDescent="0.2">
      <c r="A141" s="250" t="s">
        <v>169</v>
      </c>
      <c r="B141" s="13" t="s">
        <v>82</v>
      </c>
      <c r="C141" s="69">
        <v>0</v>
      </c>
      <c r="D141" s="14"/>
      <c r="E141" s="14"/>
      <c r="F141" s="261"/>
      <c r="I141" s="68"/>
      <c r="J141" s="68"/>
    </row>
    <row r="142" spans="1:10" ht="14.1" customHeight="1" x14ac:dyDescent="0.2">
      <c r="A142" s="250" t="s">
        <v>84</v>
      </c>
      <c r="B142" s="13" t="s">
        <v>1</v>
      </c>
      <c r="C142" s="199">
        <v>65.180000000000007</v>
      </c>
      <c r="D142" s="14">
        <f>E139</f>
        <v>130000</v>
      </c>
      <c r="E142" s="14">
        <f>C142*D142/100</f>
        <v>84734</v>
      </c>
      <c r="F142" s="98"/>
    </row>
    <row r="143" spans="1:10" ht="14.1" customHeight="1" x14ac:dyDescent="0.2">
      <c r="A143" s="256" t="s">
        <v>88</v>
      </c>
      <c r="B143" s="81" t="s">
        <v>6</v>
      </c>
      <c r="C143" s="81">
        <f>C140*12</f>
        <v>120</v>
      </c>
      <c r="D143" s="82">
        <f>IF(C141&lt;=C140,E142,0)</f>
        <v>84734</v>
      </c>
      <c r="E143" s="82">
        <f>IFERROR(D143/C143,0)</f>
        <v>706.11666666666667</v>
      </c>
      <c r="F143" s="98"/>
    </row>
    <row r="144" spans="1:10" ht="14.1" customHeight="1" x14ac:dyDescent="0.2">
      <c r="A144" s="251" t="s">
        <v>196</v>
      </c>
      <c r="B144" s="252"/>
      <c r="C144" s="252"/>
      <c r="D144" s="24"/>
      <c r="E144" s="89">
        <f>E138+E143</f>
        <v>2335.6166666666668</v>
      </c>
      <c r="F144" s="98"/>
    </row>
    <row r="145" spans="1:10" ht="14.1" customHeight="1" thickBot="1" x14ac:dyDescent="0.25">
      <c r="A145" s="256" t="s">
        <v>197</v>
      </c>
      <c r="B145" s="81" t="s">
        <v>7</v>
      </c>
      <c r="C145" s="189">
        <v>1</v>
      </c>
      <c r="D145" s="82">
        <f>E144</f>
        <v>2335.6166666666668</v>
      </c>
      <c r="E145" s="89">
        <f>C145*D145</f>
        <v>2335.6166666666668</v>
      </c>
      <c r="F145" s="98"/>
    </row>
    <row r="146" spans="1:10" ht="14.1" customHeight="1" thickBot="1" x14ac:dyDescent="0.25">
      <c r="A146" s="281"/>
      <c r="B146" s="279"/>
      <c r="C146" s="279"/>
      <c r="D146" s="280" t="s">
        <v>159</v>
      </c>
      <c r="E146" s="312">
        <f>B44</f>
        <v>0.36363636363636365</v>
      </c>
      <c r="F146" s="15">
        <f>E145*E146</f>
        <v>849.31515151515157</v>
      </c>
    </row>
    <row r="147" spans="1:10" ht="14.1" customHeight="1" x14ac:dyDescent="0.2">
      <c r="A147" s="234"/>
      <c r="B147" s="41"/>
      <c r="C147" s="41"/>
      <c r="D147" s="45"/>
      <c r="E147" s="45"/>
      <c r="F147" s="98"/>
    </row>
    <row r="148" spans="1:10" ht="14.1" customHeight="1" x14ac:dyDescent="0.2">
      <c r="A148" s="285" t="s">
        <v>93</v>
      </c>
      <c r="B148" s="41"/>
      <c r="C148" s="41"/>
      <c r="D148" s="45"/>
      <c r="E148" s="45"/>
      <c r="F148" s="98"/>
    </row>
    <row r="149" spans="1:10" ht="14.1" customHeight="1" thickBot="1" x14ac:dyDescent="0.25">
      <c r="A149" s="260"/>
      <c r="B149" s="41"/>
      <c r="C149" s="41"/>
      <c r="D149" s="45"/>
      <c r="E149" s="45"/>
      <c r="F149" s="98"/>
    </row>
    <row r="150" spans="1:10" ht="14.1" customHeight="1" thickBot="1" x14ac:dyDescent="0.25">
      <c r="A150" s="46" t="s">
        <v>54</v>
      </c>
      <c r="B150" s="47" t="s">
        <v>55</v>
      </c>
      <c r="C150" s="47" t="s">
        <v>33</v>
      </c>
      <c r="D150" s="48" t="s">
        <v>185</v>
      </c>
      <c r="E150" s="48" t="s">
        <v>56</v>
      </c>
      <c r="F150" s="49" t="s">
        <v>57</v>
      </c>
      <c r="I150" s="68"/>
      <c r="J150" s="68"/>
    </row>
    <row r="151" spans="1:10" ht="14.1" customHeight="1" x14ac:dyDescent="0.2">
      <c r="A151" s="249" t="s">
        <v>91</v>
      </c>
      <c r="B151" s="11" t="s">
        <v>7</v>
      </c>
      <c r="C151" s="188">
        <v>1</v>
      </c>
      <c r="D151" s="12">
        <f>D134</f>
        <v>300000</v>
      </c>
      <c r="E151" s="12">
        <f>C151*D151</f>
        <v>300000</v>
      </c>
      <c r="F151" s="261"/>
      <c r="I151" s="68"/>
      <c r="J151" s="68"/>
    </row>
    <row r="152" spans="1:10" ht="14.1" customHeight="1" x14ac:dyDescent="0.2">
      <c r="A152" s="250" t="s">
        <v>172</v>
      </c>
      <c r="B152" s="13" t="s">
        <v>1</v>
      </c>
      <c r="C152" s="69">
        <v>10</v>
      </c>
      <c r="D152" s="14"/>
      <c r="E152" s="14"/>
      <c r="F152" s="261"/>
      <c r="I152" s="68"/>
      <c r="J152" s="68"/>
    </row>
    <row r="153" spans="1:10" ht="14.1" customHeight="1" x14ac:dyDescent="0.2">
      <c r="A153" s="250" t="s">
        <v>170</v>
      </c>
      <c r="B153" s="13" t="s">
        <v>29</v>
      </c>
      <c r="C153" s="111">
        <f>IFERROR(IF(C136&lt;=C135,E134-(C137/(100*C135)*C136)*E134,E134-E137),0)</f>
        <v>300000</v>
      </c>
      <c r="D153" s="14"/>
      <c r="E153" s="14"/>
      <c r="F153" s="261"/>
      <c r="I153" s="68"/>
      <c r="J153" s="68"/>
    </row>
    <row r="154" spans="1:10" ht="14.1" customHeight="1" x14ac:dyDescent="0.2">
      <c r="A154" s="250" t="s">
        <v>96</v>
      </c>
      <c r="B154" s="13" t="s">
        <v>29</v>
      </c>
      <c r="C154" s="66">
        <f>IFERROR(IF(C136&gt;=C135,C153,((((C153)-(E134-E137))*(((C135-C136)+1)/(2*(C135-C136))))+(E134-E137))),0)</f>
        <v>212007</v>
      </c>
      <c r="D154" s="14"/>
      <c r="E154" s="14"/>
      <c r="F154" s="261"/>
      <c r="I154" s="68"/>
      <c r="J154" s="68"/>
    </row>
    <row r="155" spans="1:10" ht="14.1" customHeight="1" thickBot="1" x14ac:dyDescent="0.25">
      <c r="A155" s="262" t="s">
        <v>97</v>
      </c>
      <c r="B155" s="190" t="s">
        <v>29</v>
      </c>
      <c r="C155" s="190"/>
      <c r="D155" s="192">
        <f>C152*C154/12/100</f>
        <v>1766.7249999999999</v>
      </c>
      <c r="E155" s="191">
        <f>D155</f>
        <v>1766.7249999999999</v>
      </c>
      <c r="F155" s="261"/>
      <c r="I155" s="68"/>
      <c r="J155" s="68"/>
    </row>
    <row r="156" spans="1:10" ht="14.1" customHeight="1" thickTop="1" x14ac:dyDescent="0.2">
      <c r="A156" s="249" t="s">
        <v>92</v>
      </c>
      <c r="B156" s="11" t="s">
        <v>7</v>
      </c>
      <c r="C156" s="11">
        <f>C139</f>
        <v>1</v>
      </c>
      <c r="D156" s="12">
        <f>D139</f>
        <v>130000</v>
      </c>
      <c r="E156" s="12">
        <f>C156*D156</f>
        <v>130000</v>
      </c>
      <c r="F156" s="261"/>
      <c r="I156" s="68"/>
      <c r="J156" s="68"/>
    </row>
    <row r="157" spans="1:10" ht="14.1" customHeight="1" x14ac:dyDescent="0.2">
      <c r="A157" s="250" t="s">
        <v>172</v>
      </c>
      <c r="B157" s="13" t="s">
        <v>1</v>
      </c>
      <c r="C157" s="189">
        <f>C152</f>
        <v>10</v>
      </c>
      <c r="D157" s="14"/>
      <c r="E157" s="14"/>
      <c r="F157" s="261"/>
      <c r="I157" s="68"/>
      <c r="J157" s="68"/>
    </row>
    <row r="158" spans="1:10" ht="14.1" customHeight="1" x14ac:dyDescent="0.2">
      <c r="A158" s="250" t="s">
        <v>171</v>
      </c>
      <c r="B158" s="13" t="s">
        <v>29</v>
      </c>
      <c r="C158" s="111">
        <f>IFERROR(IF(C141&lt;=C140,E139-(C142/(100*C140)*C141)*E139,E139-E142),0)</f>
        <v>130000</v>
      </c>
      <c r="D158" s="14"/>
      <c r="E158" s="14"/>
      <c r="F158" s="261"/>
      <c r="I158" s="68"/>
      <c r="J158" s="68"/>
    </row>
    <row r="159" spans="1:10" ht="14.1" customHeight="1" x14ac:dyDescent="0.2">
      <c r="A159" s="250" t="s">
        <v>98</v>
      </c>
      <c r="B159" s="13" t="s">
        <v>29</v>
      </c>
      <c r="C159" s="66">
        <f>IFERROR(IF(C141&gt;=C140,C158,((((C158)-(E139-E142))*(((C140-C141)+1)/(2*(C140-C141))))+(E139-E142))),0)</f>
        <v>91869.700000000012</v>
      </c>
      <c r="D159" s="14"/>
      <c r="E159" s="14"/>
      <c r="F159" s="261"/>
      <c r="I159" s="68"/>
      <c r="J159" s="68"/>
    </row>
    <row r="160" spans="1:10" ht="14.1" customHeight="1" x14ac:dyDescent="0.2">
      <c r="A160" s="256" t="s">
        <v>95</v>
      </c>
      <c r="B160" s="81" t="s">
        <v>29</v>
      </c>
      <c r="C160" s="81"/>
      <c r="D160" s="86">
        <v>401.93</v>
      </c>
      <c r="E160" s="82">
        <f>D160</f>
        <v>401.93</v>
      </c>
      <c r="F160" s="261"/>
      <c r="I160" s="68"/>
      <c r="J160" s="68"/>
    </row>
    <row r="161" spans="1:10" ht="14.1" customHeight="1" x14ac:dyDescent="0.2">
      <c r="A161" s="251" t="s">
        <v>196</v>
      </c>
      <c r="B161" s="252"/>
      <c r="C161" s="252"/>
      <c r="D161" s="24"/>
      <c r="E161" s="89">
        <f>E155+E160</f>
        <v>2168.6549999999997</v>
      </c>
      <c r="F161" s="261"/>
      <c r="I161" s="68"/>
      <c r="J161" s="68"/>
    </row>
    <row r="162" spans="1:10" ht="14.1" customHeight="1" thickBot="1" x14ac:dyDescent="0.25">
      <c r="A162" s="256" t="s">
        <v>197</v>
      </c>
      <c r="B162" s="81" t="s">
        <v>7</v>
      </c>
      <c r="C162" s="189">
        <f>C145</f>
        <v>1</v>
      </c>
      <c r="D162" s="82">
        <f>E161</f>
        <v>2168.6549999999997</v>
      </c>
      <c r="E162" s="89">
        <f>C162*D162</f>
        <v>2168.6549999999997</v>
      </c>
      <c r="F162" s="261"/>
      <c r="I162" s="68"/>
      <c r="J162" s="68"/>
    </row>
    <row r="163" spans="1:10" ht="14.1" customHeight="1" thickBot="1" x14ac:dyDescent="0.25">
      <c r="A163" s="281"/>
      <c r="B163" s="279"/>
      <c r="C163" s="279"/>
      <c r="D163" s="280" t="s">
        <v>159</v>
      </c>
      <c r="E163" s="312">
        <f>B44</f>
        <v>0.36363636363636365</v>
      </c>
      <c r="F163" s="15">
        <f>E162*E163</f>
        <v>788.60181818181809</v>
      </c>
      <c r="I163" s="68"/>
      <c r="J163" s="68"/>
    </row>
    <row r="164" spans="1:10" ht="14.1" customHeight="1" x14ac:dyDescent="0.2">
      <c r="A164" s="234"/>
      <c r="B164" s="41"/>
      <c r="C164" s="41"/>
      <c r="D164" s="45"/>
      <c r="E164" s="45"/>
      <c r="F164" s="98"/>
      <c r="I164" s="68"/>
      <c r="J164" s="68"/>
    </row>
    <row r="165" spans="1:10" ht="14.1" customHeight="1" x14ac:dyDescent="0.2">
      <c r="A165" s="234" t="s">
        <v>44</v>
      </c>
      <c r="B165" s="41"/>
      <c r="C165" s="41"/>
      <c r="D165" s="45"/>
      <c r="E165" s="45"/>
      <c r="F165" s="98"/>
      <c r="I165" s="68"/>
      <c r="J165" s="68"/>
    </row>
    <row r="166" spans="1:10" ht="14.1" customHeight="1" thickBot="1" x14ac:dyDescent="0.25">
      <c r="A166" s="234"/>
      <c r="B166" s="41"/>
      <c r="C166" s="41"/>
      <c r="D166" s="45"/>
      <c r="E166" s="45"/>
      <c r="F166" s="98"/>
      <c r="I166" s="68"/>
      <c r="J166" s="68"/>
    </row>
    <row r="167" spans="1:10" ht="14.1" customHeight="1" thickBot="1" x14ac:dyDescent="0.25">
      <c r="A167" s="46" t="s">
        <v>54</v>
      </c>
      <c r="B167" s="47" t="s">
        <v>55</v>
      </c>
      <c r="C167" s="47" t="s">
        <v>33</v>
      </c>
      <c r="D167" s="48" t="s">
        <v>185</v>
      </c>
      <c r="E167" s="48" t="s">
        <v>56</v>
      </c>
      <c r="F167" s="49" t="s">
        <v>57</v>
      </c>
      <c r="I167" s="68"/>
      <c r="J167" s="68"/>
    </row>
    <row r="168" spans="1:10" ht="14.1" customHeight="1" x14ac:dyDescent="0.2">
      <c r="A168" s="249" t="s">
        <v>8</v>
      </c>
      <c r="B168" s="11" t="s">
        <v>7</v>
      </c>
      <c r="C168" s="12">
        <f>C145</f>
        <v>1</v>
      </c>
      <c r="D168" s="338">
        <f>0.01*($C$153)</f>
        <v>3000</v>
      </c>
      <c r="E168" s="12">
        <f>C168*D168</f>
        <v>3000</v>
      </c>
      <c r="F168" s="98"/>
      <c r="I168" s="68"/>
      <c r="J168" s="68"/>
    </row>
    <row r="169" spans="1:10" ht="14.1" customHeight="1" x14ac:dyDescent="0.2">
      <c r="A169" s="250" t="s">
        <v>158</v>
      </c>
      <c r="B169" s="13" t="s">
        <v>7</v>
      </c>
      <c r="C169" s="12">
        <f>C145</f>
        <v>1</v>
      </c>
      <c r="D169" s="71">
        <v>97.4</v>
      </c>
      <c r="E169" s="14">
        <f>C169*D169</f>
        <v>97.4</v>
      </c>
      <c r="F169" s="98"/>
      <c r="I169" s="68"/>
      <c r="J169" s="68"/>
    </row>
    <row r="170" spans="1:10" ht="14.1" customHeight="1" x14ac:dyDescent="0.2">
      <c r="A170" s="250" t="s">
        <v>9</v>
      </c>
      <c r="B170" s="13" t="s">
        <v>7</v>
      </c>
      <c r="C170" s="12">
        <f>C145</f>
        <v>1</v>
      </c>
      <c r="D170" s="71">
        <v>2500</v>
      </c>
      <c r="E170" s="14">
        <f>C170*D170</f>
        <v>2500</v>
      </c>
      <c r="F170" s="263"/>
      <c r="I170" s="68"/>
      <c r="J170" s="68"/>
    </row>
    <row r="171" spans="1:10" ht="14.1" customHeight="1" thickBot="1" x14ac:dyDescent="0.25">
      <c r="A171" s="256" t="s">
        <v>10</v>
      </c>
      <c r="B171" s="81" t="s">
        <v>6</v>
      </c>
      <c r="C171" s="81">
        <v>12</v>
      </c>
      <c r="D171" s="82">
        <f>SUM(E168:E170)</f>
        <v>5597.4</v>
      </c>
      <c r="E171" s="82">
        <f>D171/C171</f>
        <v>466.45</v>
      </c>
      <c r="F171" s="98"/>
      <c r="I171" s="68"/>
      <c r="J171" s="68"/>
    </row>
    <row r="172" spans="1:10" ht="14.1" customHeight="1" thickBot="1" x14ac:dyDescent="0.25">
      <c r="A172" s="282"/>
      <c r="B172" s="283"/>
      <c r="C172" s="283"/>
      <c r="D172" s="284" t="s">
        <v>159</v>
      </c>
      <c r="E172" s="312">
        <f>B44</f>
        <v>0.36363636363636365</v>
      </c>
      <c r="F172" s="91">
        <f>E171*E172</f>
        <v>169.61818181818182</v>
      </c>
      <c r="G172" s="193" t="s">
        <v>103</v>
      </c>
      <c r="H172" s="68"/>
      <c r="I172" s="68"/>
      <c r="J172" s="68"/>
    </row>
    <row r="173" spans="1:10" ht="14.1" customHeight="1" x14ac:dyDescent="0.2">
      <c r="A173" s="234"/>
      <c r="B173" s="41"/>
      <c r="C173" s="41"/>
      <c r="D173" s="253"/>
      <c r="E173" s="45"/>
      <c r="F173" s="98"/>
      <c r="G173" s="193"/>
      <c r="H173" s="68"/>
      <c r="I173" s="68"/>
      <c r="J173" s="68"/>
    </row>
    <row r="174" spans="1:10" ht="14.1" customHeight="1" x14ac:dyDescent="0.2">
      <c r="A174" s="234" t="s">
        <v>45</v>
      </c>
      <c r="B174" s="264"/>
      <c r="C174" s="41"/>
      <c r="D174" s="45"/>
      <c r="E174" s="45"/>
      <c r="F174" s="98"/>
      <c r="I174" s="68"/>
      <c r="J174" s="68"/>
    </row>
    <row r="175" spans="1:10" ht="14.1" customHeight="1" x14ac:dyDescent="0.2">
      <c r="A175" s="234"/>
      <c r="B175" s="264"/>
      <c r="C175" s="41"/>
      <c r="D175" s="45"/>
      <c r="E175" s="45"/>
      <c r="F175" s="98"/>
      <c r="I175" s="68"/>
      <c r="J175" s="68"/>
    </row>
    <row r="176" spans="1:10" ht="14.1" customHeight="1" x14ac:dyDescent="0.2">
      <c r="A176" s="256" t="s">
        <v>100</v>
      </c>
      <c r="B176" s="194">
        <v>1026</v>
      </c>
      <c r="C176" s="41"/>
      <c r="D176" s="45"/>
      <c r="E176" s="45"/>
      <c r="F176" s="98"/>
      <c r="I176" s="68"/>
      <c r="J176" s="68"/>
    </row>
    <row r="177" spans="1:10" ht="14.1" customHeight="1" thickBot="1" x14ac:dyDescent="0.25">
      <c r="A177" s="234"/>
      <c r="B177" s="264"/>
      <c r="C177" s="41"/>
      <c r="D177" s="45"/>
      <c r="E177" s="45"/>
      <c r="F177" s="98"/>
      <c r="I177" s="68"/>
      <c r="J177" s="68"/>
    </row>
    <row r="178" spans="1:10" ht="14.1" customHeight="1" thickBot="1" x14ac:dyDescent="0.25">
      <c r="A178" s="46" t="s">
        <v>54</v>
      </c>
      <c r="B178" s="47" t="s">
        <v>55</v>
      </c>
      <c r="C178" s="47" t="s">
        <v>195</v>
      </c>
      <c r="D178" s="48" t="s">
        <v>185</v>
      </c>
      <c r="E178" s="48" t="s">
        <v>56</v>
      </c>
      <c r="F178" s="49" t="s">
        <v>57</v>
      </c>
      <c r="I178" s="68"/>
      <c r="J178" s="68"/>
    </row>
    <row r="179" spans="1:10" ht="14.1" customHeight="1" x14ac:dyDescent="0.2">
      <c r="A179" s="249" t="s">
        <v>11</v>
      </c>
      <c r="B179" s="11" t="s">
        <v>12</v>
      </c>
      <c r="C179" s="76">
        <v>2.1</v>
      </c>
      <c r="D179" s="77">
        <v>6</v>
      </c>
      <c r="E179" s="12"/>
      <c r="F179" s="98"/>
      <c r="I179" s="68"/>
      <c r="J179" s="68"/>
    </row>
    <row r="180" spans="1:10" ht="14.1" customHeight="1" x14ac:dyDescent="0.2">
      <c r="A180" s="250" t="s">
        <v>13</v>
      </c>
      <c r="B180" s="13" t="s">
        <v>14</v>
      </c>
      <c r="C180" s="73">
        <f>B176</f>
        <v>1026</v>
      </c>
      <c r="D180" s="187">
        <f>IFERROR(+D179/C179,"-")</f>
        <v>2.8571428571428572</v>
      </c>
      <c r="E180" s="14">
        <f>IFERROR(C180*D180,"-")</f>
        <v>2931.4285714285716</v>
      </c>
      <c r="F180" s="98"/>
      <c r="I180" s="68"/>
      <c r="J180" s="68"/>
    </row>
    <row r="181" spans="1:10" ht="14.1" customHeight="1" x14ac:dyDescent="0.2">
      <c r="A181" s="250" t="s">
        <v>186</v>
      </c>
      <c r="B181" s="13" t="s">
        <v>15</v>
      </c>
      <c r="C181" s="79">
        <v>1.33</v>
      </c>
      <c r="D181" s="71">
        <v>18</v>
      </c>
      <c r="E181" s="14"/>
      <c r="F181" s="98"/>
      <c r="G181" s="85"/>
      <c r="H181" s="40"/>
      <c r="I181" s="68"/>
      <c r="J181" s="68"/>
    </row>
    <row r="182" spans="1:10" ht="14.1" customHeight="1" x14ac:dyDescent="0.2">
      <c r="A182" s="250" t="s">
        <v>16</v>
      </c>
      <c r="B182" s="13" t="s">
        <v>14</v>
      </c>
      <c r="C182" s="73">
        <f>C180</f>
        <v>1026</v>
      </c>
      <c r="D182" s="184">
        <f>+C181*D181/1000</f>
        <v>2.3940000000000003E-2</v>
      </c>
      <c r="E182" s="14">
        <f>C182*D182</f>
        <v>24.562440000000002</v>
      </c>
      <c r="F182" s="98"/>
      <c r="G182" s="85"/>
      <c r="H182" s="40"/>
      <c r="I182" s="68"/>
      <c r="J182" s="68"/>
    </row>
    <row r="183" spans="1:10" ht="14.1" customHeight="1" x14ac:dyDescent="0.2">
      <c r="A183" s="250" t="s">
        <v>187</v>
      </c>
      <c r="B183" s="13" t="s">
        <v>15</v>
      </c>
      <c r="C183" s="79">
        <v>0.18</v>
      </c>
      <c r="D183" s="71">
        <v>26</v>
      </c>
      <c r="E183" s="14"/>
      <c r="F183" s="98"/>
      <c r="G183" s="85"/>
      <c r="H183" s="40"/>
      <c r="I183" s="68"/>
      <c r="J183" s="68"/>
    </row>
    <row r="184" spans="1:10" ht="14.1" customHeight="1" x14ac:dyDescent="0.2">
      <c r="A184" s="250" t="s">
        <v>17</v>
      </c>
      <c r="B184" s="13" t="s">
        <v>14</v>
      </c>
      <c r="C184" s="73">
        <f>C180</f>
        <v>1026</v>
      </c>
      <c r="D184" s="184">
        <f>+C183*D183/1000</f>
        <v>4.6800000000000001E-3</v>
      </c>
      <c r="E184" s="14">
        <f>C184*D184</f>
        <v>4.8016800000000002</v>
      </c>
      <c r="F184" s="98"/>
      <c r="G184" s="85"/>
      <c r="H184" s="40"/>
      <c r="I184" s="68"/>
      <c r="J184" s="68"/>
    </row>
    <row r="185" spans="1:10" ht="14.1" customHeight="1" x14ac:dyDescent="0.2">
      <c r="A185" s="352" t="s">
        <v>253</v>
      </c>
      <c r="B185" s="201" t="s">
        <v>15</v>
      </c>
      <c r="C185" s="79">
        <v>20</v>
      </c>
      <c r="D185" s="71">
        <v>3.6</v>
      </c>
      <c r="E185" s="14"/>
      <c r="F185" s="98"/>
      <c r="G185" s="85"/>
      <c r="H185" s="40"/>
      <c r="I185" s="68"/>
      <c r="J185" s="68"/>
    </row>
    <row r="186" spans="1:10" ht="14.1" customHeight="1" x14ac:dyDescent="0.2">
      <c r="A186" s="352" t="s">
        <v>254</v>
      </c>
      <c r="B186" s="201" t="s">
        <v>14</v>
      </c>
      <c r="C186" s="73">
        <f>B176</f>
        <v>1026</v>
      </c>
      <c r="D186" s="184">
        <f>+C185*D185/1000</f>
        <v>7.1999999999999995E-2</v>
      </c>
      <c r="E186" s="14">
        <f>C186*D186</f>
        <v>73.872</v>
      </c>
      <c r="F186" s="98"/>
      <c r="G186" s="85"/>
      <c r="H186" s="40"/>
      <c r="I186" s="68"/>
      <c r="J186" s="68"/>
    </row>
    <row r="187" spans="1:10" ht="14.1" customHeight="1" x14ac:dyDescent="0.2">
      <c r="A187" s="250" t="s">
        <v>188</v>
      </c>
      <c r="B187" s="13" t="s">
        <v>15</v>
      </c>
      <c r="C187" s="79">
        <v>2</v>
      </c>
      <c r="D187" s="71">
        <v>22</v>
      </c>
      <c r="E187" s="14"/>
      <c r="F187" s="98"/>
      <c r="G187" s="85"/>
      <c r="H187" s="40"/>
      <c r="I187" s="68"/>
      <c r="J187" s="68"/>
    </row>
    <row r="188" spans="1:10" ht="14.1" customHeight="1" x14ac:dyDescent="0.2">
      <c r="A188" s="250" t="s">
        <v>18</v>
      </c>
      <c r="B188" s="13" t="s">
        <v>14</v>
      </c>
      <c r="C188" s="73">
        <f>C180</f>
        <v>1026</v>
      </c>
      <c r="D188" s="184">
        <f>+C187*D187/1000</f>
        <v>4.3999999999999997E-2</v>
      </c>
      <c r="E188" s="14">
        <f>C188*D188</f>
        <v>45.143999999999998</v>
      </c>
      <c r="F188" s="98"/>
      <c r="G188" s="85"/>
      <c r="H188" s="40"/>
      <c r="I188" s="68"/>
      <c r="J188" s="68"/>
    </row>
    <row r="189" spans="1:10" ht="14.1" customHeight="1" x14ac:dyDescent="0.2">
      <c r="A189" s="255" t="s">
        <v>19</v>
      </c>
      <c r="B189" s="13" t="s">
        <v>20</v>
      </c>
      <c r="C189" s="79">
        <v>1</v>
      </c>
      <c r="D189" s="71">
        <v>22</v>
      </c>
      <c r="E189" s="14"/>
      <c r="F189" s="98"/>
      <c r="G189" s="85"/>
      <c r="H189" s="40"/>
      <c r="I189" s="68"/>
      <c r="J189" s="68"/>
    </row>
    <row r="190" spans="1:10" ht="14.1" customHeight="1" x14ac:dyDescent="0.2">
      <c r="A190" s="250" t="s">
        <v>21</v>
      </c>
      <c r="B190" s="13" t="s">
        <v>14</v>
      </c>
      <c r="C190" s="73">
        <f>C180</f>
        <v>1026</v>
      </c>
      <c r="D190" s="184">
        <f>+C189*D189/1000</f>
        <v>2.1999999999999999E-2</v>
      </c>
      <c r="E190" s="14">
        <f>C190*D190</f>
        <v>22.571999999999999</v>
      </c>
      <c r="F190" s="98"/>
      <c r="G190" s="85"/>
      <c r="H190" s="40"/>
      <c r="I190" s="68"/>
      <c r="J190" s="68"/>
    </row>
    <row r="191" spans="1:10" ht="14.1" customHeight="1" thickBot="1" x14ac:dyDescent="0.25">
      <c r="A191" s="256" t="s">
        <v>194</v>
      </c>
      <c r="B191" s="81" t="s">
        <v>101</v>
      </c>
      <c r="C191" s="185"/>
      <c r="D191" s="186">
        <f>IFERROR(D180+D182+D184+D186+D188+D190,0)</f>
        <v>3.0237628571428572</v>
      </c>
      <c r="E191" s="14"/>
      <c r="F191" s="98"/>
      <c r="G191" s="85"/>
      <c r="H191" s="40"/>
      <c r="I191" s="68"/>
      <c r="J191" s="68"/>
    </row>
    <row r="192" spans="1:10" ht="14.1" customHeight="1" thickBot="1" x14ac:dyDescent="0.25">
      <c r="A192" s="234"/>
      <c r="B192" s="41"/>
      <c r="C192" s="41"/>
      <c r="D192" s="45"/>
      <c r="E192" s="45"/>
      <c r="F192" s="15">
        <f>SUM(E179:E190)</f>
        <v>3102.3806914285715</v>
      </c>
      <c r="I192" s="68"/>
      <c r="J192" s="68"/>
    </row>
    <row r="193" spans="1:10" ht="14.1" customHeight="1" x14ac:dyDescent="0.2">
      <c r="A193" s="234"/>
      <c r="B193" s="41"/>
      <c r="C193" s="41"/>
      <c r="D193" s="45"/>
      <c r="E193" s="45"/>
      <c r="F193" s="98"/>
      <c r="I193" s="68"/>
      <c r="J193" s="68"/>
    </row>
    <row r="194" spans="1:10" ht="14.1" customHeight="1" x14ac:dyDescent="0.2">
      <c r="A194" s="234" t="s">
        <v>46</v>
      </c>
      <c r="B194" s="41"/>
      <c r="C194" s="41"/>
      <c r="D194" s="45"/>
      <c r="E194" s="45"/>
      <c r="F194" s="98"/>
      <c r="I194" s="68"/>
      <c r="J194" s="68"/>
    </row>
    <row r="195" spans="1:10" ht="14.1" customHeight="1" thickBot="1" x14ac:dyDescent="0.25">
      <c r="A195" s="234"/>
      <c r="B195" s="41"/>
      <c r="C195" s="41"/>
      <c r="D195" s="45"/>
      <c r="E195" s="45"/>
      <c r="F195" s="98"/>
      <c r="I195" s="68"/>
      <c r="J195" s="68"/>
    </row>
    <row r="196" spans="1:10" ht="14.1" customHeight="1" thickBot="1" x14ac:dyDescent="0.25">
      <c r="A196" s="46" t="s">
        <v>54</v>
      </c>
      <c r="B196" s="47" t="s">
        <v>55</v>
      </c>
      <c r="C196" s="47" t="s">
        <v>33</v>
      </c>
      <c r="D196" s="48" t="s">
        <v>185</v>
      </c>
      <c r="E196" s="48" t="s">
        <v>56</v>
      </c>
      <c r="F196" s="49" t="s">
        <v>57</v>
      </c>
      <c r="I196" s="68"/>
      <c r="J196" s="68"/>
    </row>
    <row r="197" spans="1:10" ht="14.1" customHeight="1" thickBot="1" x14ac:dyDescent="0.25">
      <c r="A197" s="249" t="s">
        <v>99</v>
      </c>
      <c r="B197" s="11" t="s">
        <v>101</v>
      </c>
      <c r="C197" s="73">
        <f>B176</f>
        <v>1026</v>
      </c>
      <c r="D197" s="70">
        <v>1</v>
      </c>
      <c r="E197" s="12">
        <f>C197*D197</f>
        <v>1026</v>
      </c>
      <c r="F197" s="98"/>
      <c r="I197" s="68"/>
      <c r="J197" s="68"/>
    </row>
    <row r="198" spans="1:10" ht="14.1" customHeight="1" thickBot="1" x14ac:dyDescent="0.25">
      <c r="A198" s="234"/>
      <c r="B198" s="41"/>
      <c r="C198" s="41"/>
      <c r="D198" s="45"/>
      <c r="E198" s="45"/>
      <c r="F198" s="15">
        <f>E197</f>
        <v>1026</v>
      </c>
      <c r="I198" s="68"/>
      <c r="J198" s="68"/>
    </row>
    <row r="199" spans="1:10" ht="14.1" customHeight="1" x14ac:dyDescent="0.2">
      <c r="A199" s="234"/>
      <c r="B199" s="41"/>
      <c r="C199" s="41"/>
      <c r="D199" s="45"/>
      <c r="E199" s="45"/>
      <c r="F199" s="98"/>
      <c r="I199" s="68"/>
      <c r="J199" s="68"/>
    </row>
    <row r="200" spans="1:10" ht="14.1" customHeight="1" x14ac:dyDescent="0.2">
      <c r="A200" s="234" t="s">
        <v>52</v>
      </c>
      <c r="B200" s="41"/>
      <c r="C200" s="41"/>
      <c r="D200" s="45"/>
      <c r="E200" s="45"/>
      <c r="F200" s="98"/>
      <c r="I200" s="68"/>
      <c r="J200" s="68"/>
    </row>
    <row r="201" spans="1:10" ht="14.1" customHeight="1" thickBot="1" x14ac:dyDescent="0.25">
      <c r="A201" s="234"/>
      <c r="B201" s="41"/>
      <c r="C201" s="41"/>
      <c r="D201" s="45"/>
      <c r="E201" s="45"/>
      <c r="F201" s="98"/>
      <c r="I201" s="68"/>
      <c r="J201" s="68"/>
    </row>
    <row r="202" spans="1:10" ht="14.1" customHeight="1" thickBot="1" x14ac:dyDescent="0.25">
      <c r="A202" s="46" t="s">
        <v>54</v>
      </c>
      <c r="B202" s="47" t="s">
        <v>55</v>
      </c>
      <c r="C202" s="47" t="s">
        <v>33</v>
      </c>
      <c r="D202" s="48" t="s">
        <v>185</v>
      </c>
      <c r="E202" s="48" t="s">
        <v>56</v>
      </c>
      <c r="F202" s="49" t="s">
        <v>57</v>
      </c>
      <c r="I202" s="68"/>
      <c r="J202" s="68"/>
    </row>
    <row r="203" spans="1:10" ht="14.1" customHeight="1" x14ac:dyDescent="0.2">
      <c r="A203" s="254" t="s">
        <v>209</v>
      </c>
      <c r="B203" s="11" t="s">
        <v>7</v>
      </c>
      <c r="C203" s="75">
        <v>6</v>
      </c>
      <c r="D203" s="70">
        <v>1650</v>
      </c>
      <c r="E203" s="12">
        <f>C203*D203</f>
        <v>9900</v>
      </c>
      <c r="F203" s="98"/>
      <c r="I203" s="68"/>
      <c r="J203" s="68"/>
    </row>
    <row r="204" spans="1:10" ht="14.1" customHeight="1" x14ac:dyDescent="0.2">
      <c r="A204" s="249" t="s">
        <v>102</v>
      </c>
      <c r="B204" s="11" t="s">
        <v>7</v>
      </c>
      <c r="C204" s="75">
        <v>2</v>
      </c>
      <c r="D204" s="83"/>
      <c r="E204" s="12"/>
      <c r="F204" s="98"/>
      <c r="I204" s="68"/>
      <c r="J204" s="68"/>
    </row>
    <row r="205" spans="1:10" ht="14.1" customHeight="1" x14ac:dyDescent="0.2">
      <c r="A205" s="249" t="s">
        <v>59</v>
      </c>
      <c r="B205" s="11" t="s">
        <v>7</v>
      </c>
      <c r="C205" s="204">
        <f>C203*C204</f>
        <v>12</v>
      </c>
      <c r="D205" s="70">
        <v>650</v>
      </c>
      <c r="E205" s="12">
        <f>C205*D205</f>
        <v>7800</v>
      </c>
      <c r="F205" s="98"/>
      <c r="I205" s="68"/>
      <c r="J205" s="68"/>
    </row>
    <row r="206" spans="1:10" ht="14.1" customHeight="1" x14ac:dyDescent="0.2">
      <c r="A206" s="255" t="s">
        <v>208</v>
      </c>
      <c r="B206" s="13" t="s">
        <v>22</v>
      </c>
      <c r="C206" s="78">
        <v>80000</v>
      </c>
      <c r="D206" s="14">
        <f>E203+E205</f>
        <v>17700</v>
      </c>
      <c r="E206" s="14">
        <f>IFERROR(D206/C206,"-")</f>
        <v>0.22125</v>
      </c>
      <c r="F206" s="98"/>
      <c r="I206" s="68"/>
      <c r="J206" s="68"/>
    </row>
    <row r="207" spans="1:10" ht="14.1" customHeight="1" thickBot="1" x14ac:dyDescent="0.25">
      <c r="A207" s="250" t="s">
        <v>48</v>
      </c>
      <c r="B207" s="13" t="s">
        <v>14</v>
      </c>
      <c r="C207" s="205">
        <f>B176</f>
        <v>1026</v>
      </c>
      <c r="D207" s="14">
        <f>E206</f>
        <v>0.22125</v>
      </c>
      <c r="E207" s="14">
        <f>IFERROR(C207*D207,0)</f>
        <v>227.0025</v>
      </c>
      <c r="F207" s="98"/>
      <c r="I207" s="68"/>
      <c r="J207" s="68"/>
    </row>
    <row r="208" spans="1:10" ht="14.1" customHeight="1" thickBot="1" x14ac:dyDescent="0.25">
      <c r="A208" s="234"/>
      <c r="B208" s="41"/>
      <c r="C208" s="41"/>
      <c r="D208" s="45"/>
      <c r="E208" s="45"/>
      <c r="F208" s="15">
        <f>E207</f>
        <v>227.0025</v>
      </c>
      <c r="I208" s="68"/>
      <c r="J208" s="68"/>
    </row>
    <row r="209" spans="1:8" ht="14.1" customHeight="1" thickBot="1" x14ac:dyDescent="0.25">
      <c r="A209" s="234"/>
      <c r="B209" s="41"/>
      <c r="C209" s="41"/>
      <c r="D209" s="45"/>
      <c r="E209" s="45"/>
      <c r="F209" s="98"/>
      <c r="G209" s="7"/>
    </row>
    <row r="210" spans="1:8" ht="14.1" customHeight="1" thickBot="1" x14ac:dyDescent="0.25">
      <c r="A210" s="17" t="s">
        <v>177</v>
      </c>
      <c r="B210" s="18"/>
      <c r="C210" s="18"/>
      <c r="D210" s="19"/>
      <c r="E210" s="20"/>
      <c r="F210" s="15">
        <f>+SUM(F134:F209)</f>
        <v>6162.9183429437226</v>
      </c>
      <c r="G210" s="7"/>
      <c r="H210" s="68"/>
    </row>
    <row r="211" spans="1:8" ht="14.1" customHeight="1" x14ac:dyDescent="0.2">
      <c r="A211" s="234"/>
      <c r="B211" s="41"/>
      <c r="C211" s="41"/>
      <c r="D211" s="45"/>
      <c r="E211" s="45"/>
      <c r="F211" s="98"/>
      <c r="G211" s="7"/>
    </row>
    <row r="212" spans="1:8" ht="14.1" customHeight="1" x14ac:dyDescent="0.2">
      <c r="A212" s="248" t="s">
        <v>62</v>
      </c>
      <c r="B212" s="25"/>
      <c r="C212" s="25"/>
      <c r="D212" s="26"/>
      <c r="E212" s="26"/>
      <c r="F212" s="265"/>
      <c r="G212" s="7"/>
    </row>
    <row r="213" spans="1:8" ht="14.1" customHeight="1" thickBot="1" x14ac:dyDescent="0.25">
      <c r="A213" s="234"/>
      <c r="B213" s="41"/>
      <c r="C213" s="41"/>
      <c r="D213" s="45"/>
      <c r="E213" s="45"/>
      <c r="F213" s="98"/>
      <c r="G213" s="7"/>
    </row>
    <row r="214" spans="1:8" ht="14.1" customHeight="1" thickBot="1" x14ac:dyDescent="0.25">
      <c r="A214" s="46" t="s">
        <v>54</v>
      </c>
      <c r="B214" s="47" t="s">
        <v>55</v>
      </c>
      <c r="C214" s="47" t="s">
        <v>33</v>
      </c>
      <c r="D214" s="48" t="s">
        <v>185</v>
      </c>
      <c r="E214" s="48" t="s">
        <v>56</v>
      </c>
      <c r="F214" s="49" t="s">
        <v>57</v>
      </c>
      <c r="G214" s="7"/>
    </row>
    <row r="215" spans="1:8" ht="14.1" customHeight="1" x14ac:dyDescent="0.2">
      <c r="A215" s="250" t="s">
        <v>60</v>
      </c>
      <c r="B215" s="13" t="s">
        <v>7</v>
      </c>
      <c r="C215" s="80">
        <v>0.16666666666666666</v>
      </c>
      <c r="D215" s="70">
        <v>45</v>
      </c>
      <c r="E215" s="14">
        <f>C215*D215</f>
        <v>7.5</v>
      </c>
      <c r="F215" s="266"/>
      <c r="G215" s="7"/>
    </row>
    <row r="216" spans="1:8" ht="14.1" customHeight="1" x14ac:dyDescent="0.2">
      <c r="A216" s="250" t="s">
        <v>23</v>
      </c>
      <c r="B216" s="13" t="s">
        <v>7</v>
      </c>
      <c r="C216" s="80">
        <v>0.16666666666666666</v>
      </c>
      <c r="D216" s="70">
        <v>30</v>
      </c>
      <c r="E216" s="14">
        <f>C216*D216</f>
        <v>5</v>
      </c>
      <c r="F216" s="266"/>
      <c r="G216" s="7"/>
    </row>
    <row r="217" spans="1:8" ht="14.1" customHeight="1" thickBot="1" x14ac:dyDescent="0.25">
      <c r="A217" s="250" t="s">
        <v>24</v>
      </c>
      <c r="B217" s="13" t="s">
        <v>7</v>
      </c>
      <c r="C217" s="80">
        <v>0.16666666666666666</v>
      </c>
      <c r="D217" s="70">
        <v>32</v>
      </c>
      <c r="E217" s="14">
        <f>C217*D217</f>
        <v>5.333333333333333</v>
      </c>
      <c r="F217" s="266"/>
      <c r="G217" s="7"/>
    </row>
    <row r="218" spans="1:8" ht="14.1" customHeight="1" thickBot="1" x14ac:dyDescent="0.25">
      <c r="A218" s="248"/>
      <c r="B218" s="25"/>
      <c r="C218" s="25"/>
      <c r="D218" s="25"/>
      <c r="E218" s="26"/>
      <c r="F218" s="15">
        <f>SUM(E215:E217)</f>
        <v>17.833333333333332</v>
      </c>
      <c r="G218" s="7"/>
    </row>
    <row r="219" spans="1:8" ht="14.1" customHeight="1" thickBot="1" x14ac:dyDescent="0.25">
      <c r="A219" s="234"/>
      <c r="B219" s="41"/>
      <c r="C219" s="41"/>
      <c r="D219" s="45"/>
      <c r="E219" s="45"/>
      <c r="F219" s="98"/>
      <c r="G219" s="7"/>
    </row>
    <row r="220" spans="1:8" ht="14.1" customHeight="1" thickBot="1" x14ac:dyDescent="0.25">
      <c r="A220" s="17" t="s">
        <v>178</v>
      </c>
      <c r="B220" s="18"/>
      <c r="C220" s="18"/>
      <c r="D220" s="19"/>
      <c r="E220" s="20"/>
      <c r="F220" s="15">
        <f>+F218</f>
        <v>17.833333333333332</v>
      </c>
      <c r="G220" s="7"/>
    </row>
    <row r="221" spans="1:8" ht="14.1" customHeight="1" x14ac:dyDescent="0.2">
      <c r="A221" s="234"/>
      <c r="B221" s="41"/>
      <c r="C221" s="41"/>
      <c r="D221" s="45"/>
      <c r="E221" s="45"/>
      <c r="F221" s="98"/>
      <c r="G221" s="7"/>
    </row>
    <row r="222" spans="1:8" ht="14.1" customHeight="1" thickBot="1" x14ac:dyDescent="0.25">
      <c r="A222" s="248" t="s">
        <v>255</v>
      </c>
      <c r="B222" s="25"/>
      <c r="C222" s="25"/>
      <c r="D222" s="26"/>
      <c r="E222" s="26"/>
      <c r="F222" s="265"/>
      <c r="G222" s="7"/>
    </row>
    <row r="223" spans="1:8" ht="14.1" customHeight="1" thickBot="1" x14ac:dyDescent="0.25">
      <c r="A223" s="46" t="s">
        <v>54</v>
      </c>
      <c r="B223" s="47" t="s">
        <v>55</v>
      </c>
      <c r="C223" s="47" t="s">
        <v>33</v>
      </c>
      <c r="D223" s="48" t="s">
        <v>185</v>
      </c>
      <c r="E223" s="48" t="s">
        <v>56</v>
      </c>
      <c r="F223" s="49" t="s">
        <v>57</v>
      </c>
      <c r="G223" s="7"/>
    </row>
    <row r="224" spans="1:8" ht="14.1" customHeight="1" x14ac:dyDescent="0.2">
      <c r="A224" s="255" t="s">
        <v>256</v>
      </c>
      <c r="B224" s="201" t="s">
        <v>7</v>
      </c>
      <c r="C224" s="367">
        <v>1</v>
      </c>
      <c r="D224" s="329">
        <v>180</v>
      </c>
      <c r="E224" s="330">
        <f t="shared" ref="E224:E225" si="3">C224*D224</f>
        <v>180</v>
      </c>
      <c r="F224" s="268"/>
      <c r="G224" s="7"/>
    </row>
    <row r="225" spans="1:8" ht="14.1" customHeight="1" x14ac:dyDescent="0.2">
      <c r="A225" s="255" t="s">
        <v>257</v>
      </c>
      <c r="B225" s="201" t="s">
        <v>7</v>
      </c>
      <c r="C225" s="368">
        <v>8.3333333333333329E-2</v>
      </c>
      <c r="D225" s="329">
        <v>150</v>
      </c>
      <c r="E225" s="330">
        <f t="shared" si="3"/>
        <v>12.5</v>
      </c>
      <c r="F225" s="268"/>
      <c r="G225" s="7"/>
    </row>
    <row r="226" spans="1:8" ht="14.1" customHeight="1" thickBot="1" x14ac:dyDescent="0.25">
      <c r="A226" s="255" t="s">
        <v>259</v>
      </c>
      <c r="B226" s="366" t="s">
        <v>258</v>
      </c>
      <c r="C226" s="201">
        <v>60</v>
      </c>
      <c r="D226" s="360">
        <v>2.4</v>
      </c>
      <c r="E226" s="330">
        <f t="shared" ref="E226" si="4">+D226*C226</f>
        <v>144</v>
      </c>
      <c r="F226" s="268"/>
      <c r="G226" s="7"/>
    </row>
    <row r="227" spans="1:8" ht="14.1" customHeight="1" thickBot="1" x14ac:dyDescent="0.25">
      <c r="A227" s="362"/>
      <c r="B227" s="358"/>
      <c r="C227" s="358"/>
      <c r="D227" s="269" t="s">
        <v>159</v>
      </c>
      <c r="E227" s="356">
        <v>1</v>
      </c>
      <c r="F227" s="15">
        <f>SUM(E224:E226)</f>
        <v>336.5</v>
      </c>
      <c r="G227" s="7"/>
    </row>
    <row r="228" spans="1:8" ht="14.1" customHeight="1" x14ac:dyDescent="0.2">
      <c r="A228" s="234"/>
      <c r="B228" s="41"/>
      <c r="C228" s="41"/>
      <c r="D228" s="45"/>
      <c r="E228" s="45"/>
      <c r="F228" s="98"/>
      <c r="G228" s="7"/>
    </row>
    <row r="229" spans="1:8" ht="14.1" customHeight="1" x14ac:dyDescent="0.2">
      <c r="A229" s="248" t="s">
        <v>260</v>
      </c>
      <c r="B229" s="104"/>
      <c r="C229" s="104"/>
      <c r="D229" s="210"/>
      <c r="E229" s="210"/>
      <c r="F229" s="267"/>
      <c r="G229" s="7"/>
    </row>
    <row r="230" spans="1:8" ht="14.1" customHeight="1" thickBot="1" x14ac:dyDescent="0.25">
      <c r="A230" s="242"/>
      <c r="B230" s="104"/>
      <c r="C230" s="104"/>
      <c r="D230" s="210"/>
      <c r="E230" s="210"/>
      <c r="F230" s="267"/>
      <c r="G230" s="7"/>
    </row>
    <row r="231" spans="1:8" ht="14.1" customHeight="1" thickBot="1" x14ac:dyDescent="0.25">
      <c r="A231" s="46" t="s">
        <v>54</v>
      </c>
      <c r="B231" s="47" t="s">
        <v>55</v>
      </c>
      <c r="C231" s="47" t="s">
        <v>33</v>
      </c>
      <c r="D231" s="48" t="s">
        <v>185</v>
      </c>
      <c r="E231" s="48" t="s">
        <v>56</v>
      </c>
      <c r="F231" s="49" t="s">
        <v>57</v>
      </c>
      <c r="G231" s="7"/>
    </row>
    <row r="232" spans="1:8" ht="14.1" customHeight="1" x14ac:dyDescent="0.2">
      <c r="A232" s="254" t="s">
        <v>212</v>
      </c>
      <c r="B232" s="206" t="s">
        <v>50</v>
      </c>
      <c r="C232" s="206">
        <v>1</v>
      </c>
      <c r="D232" s="211">
        <v>600</v>
      </c>
      <c r="E232" s="207">
        <f>D232/C232</f>
        <v>600</v>
      </c>
      <c r="F232" s="268"/>
      <c r="G232" s="7"/>
    </row>
    <row r="233" spans="1:8" ht="14.1" customHeight="1" x14ac:dyDescent="0.2">
      <c r="A233" s="255" t="s">
        <v>213</v>
      </c>
      <c r="B233" s="201" t="s">
        <v>6</v>
      </c>
      <c r="C233" s="201">
        <v>60</v>
      </c>
      <c r="D233" s="208">
        <f>E232</f>
        <v>600</v>
      </c>
      <c r="E233" s="208">
        <f t="shared" ref="E233:E235" si="5">D233/C233</f>
        <v>10</v>
      </c>
      <c r="F233" s="268"/>
      <c r="G233" s="7"/>
    </row>
    <row r="234" spans="1:8" ht="14.1" customHeight="1" x14ac:dyDescent="0.2">
      <c r="A234" s="255" t="s">
        <v>214</v>
      </c>
      <c r="B234" s="201" t="s">
        <v>7</v>
      </c>
      <c r="C234" s="201">
        <v>1</v>
      </c>
      <c r="D234" s="212">
        <v>110</v>
      </c>
      <c r="E234" s="208">
        <f t="shared" si="5"/>
        <v>110</v>
      </c>
      <c r="F234" s="268"/>
      <c r="G234" s="7"/>
    </row>
    <row r="235" spans="1:8" ht="14.1" customHeight="1" thickBot="1" x14ac:dyDescent="0.25">
      <c r="A235" s="255" t="s">
        <v>215</v>
      </c>
      <c r="B235" s="201" t="s">
        <v>6</v>
      </c>
      <c r="C235" s="201">
        <v>1</v>
      </c>
      <c r="D235" s="208">
        <f>E234</f>
        <v>110</v>
      </c>
      <c r="E235" s="208">
        <f t="shared" si="5"/>
        <v>110</v>
      </c>
      <c r="F235" s="268"/>
      <c r="G235" s="7"/>
    </row>
    <row r="236" spans="1:8" ht="14.1" customHeight="1" thickBot="1" x14ac:dyDescent="0.25">
      <c r="A236" s="281"/>
      <c r="B236" s="279"/>
      <c r="C236" s="279"/>
      <c r="D236" s="280" t="s">
        <v>159</v>
      </c>
      <c r="E236" s="356">
        <f>B44</f>
        <v>0.36363636363636365</v>
      </c>
      <c r="F236" s="15">
        <f>(E235+E233)*E236</f>
        <v>43.63636363636364</v>
      </c>
      <c r="G236" s="7"/>
    </row>
    <row r="237" spans="1:8" ht="14.1" customHeight="1" thickBot="1" x14ac:dyDescent="0.25">
      <c r="A237" s="234"/>
      <c r="B237" s="41"/>
      <c r="C237" s="41"/>
      <c r="D237" s="45"/>
      <c r="E237" s="45"/>
      <c r="F237" s="98"/>
    </row>
    <row r="238" spans="1:8" ht="14.1" customHeight="1" thickBot="1" x14ac:dyDescent="0.25">
      <c r="A238" s="17" t="s">
        <v>179</v>
      </c>
      <c r="B238" s="21"/>
      <c r="C238" s="21"/>
      <c r="D238" s="22"/>
      <c r="E238" s="23"/>
      <c r="F238" s="16">
        <f>F92+F125+F210+F220+F227+F236</f>
        <v>15153.111111684049</v>
      </c>
    </row>
    <row r="239" spans="1:8" ht="14.1" customHeight="1" x14ac:dyDescent="0.2">
      <c r="A239" s="234"/>
      <c r="B239" s="41"/>
      <c r="C239" s="41"/>
      <c r="D239" s="45"/>
      <c r="E239" s="45"/>
      <c r="F239" s="98"/>
      <c r="H239" s="68"/>
    </row>
    <row r="240" spans="1:8" ht="14.1" customHeight="1" x14ac:dyDescent="0.2">
      <c r="A240" s="248" t="s">
        <v>266</v>
      </c>
      <c r="B240" s="41"/>
      <c r="C240" s="41"/>
      <c r="D240" s="45"/>
      <c r="E240" s="45"/>
      <c r="F240" s="98"/>
    </row>
    <row r="241" spans="1:8" ht="14.1" customHeight="1" thickBot="1" x14ac:dyDescent="0.25">
      <c r="A241" s="234"/>
      <c r="B241" s="41"/>
      <c r="C241" s="41"/>
      <c r="D241" s="45"/>
      <c r="E241" s="45"/>
      <c r="F241" s="98"/>
    </row>
    <row r="242" spans="1:8" ht="14.1" customHeight="1" thickBot="1" x14ac:dyDescent="0.25">
      <c r="A242" s="46" t="s">
        <v>54</v>
      </c>
      <c r="B242" s="47" t="s">
        <v>55</v>
      </c>
      <c r="C242" s="47" t="s">
        <v>33</v>
      </c>
      <c r="D242" s="48" t="s">
        <v>185</v>
      </c>
      <c r="E242" s="48" t="s">
        <v>56</v>
      </c>
      <c r="F242" s="49" t="s">
        <v>57</v>
      </c>
    </row>
    <row r="243" spans="1:8" ht="14.1" customHeight="1" thickBot="1" x14ac:dyDescent="0.25">
      <c r="A243" s="249" t="s">
        <v>30</v>
      </c>
      <c r="B243" s="11" t="s">
        <v>1</v>
      </c>
      <c r="C243" s="213">
        <f>'5. BDI'!C21</f>
        <v>0.28849999999999998</v>
      </c>
      <c r="D243" s="12">
        <f>F238</f>
        <v>15153.111111684049</v>
      </c>
      <c r="E243" s="12">
        <f>C243*D243</f>
        <v>4371.6725557208483</v>
      </c>
      <c r="F243" s="98"/>
    </row>
    <row r="244" spans="1:8" ht="14.1" customHeight="1" thickBot="1" x14ac:dyDescent="0.25">
      <c r="A244" s="234"/>
      <c r="B244" s="41"/>
      <c r="C244" s="41"/>
      <c r="D244" s="45"/>
      <c r="E244" s="45"/>
      <c r="F244" s="15">
        <f>+E243</f>
        <v>4371.6725557208483</v>
      </c>
      <c r="H244" s="68"/>
    </row>
    <row r="245" spans="1:8" ht="14.1" customHeight="1" thickBot="1" x14ac:dyDescent="0.25">
      <c r="A245" s="234"/>
      <c r="B245" s="41"/>
      <c r="C245" s="41"/>
      <c r="D245" s="45"/>
      <c r="E245" s="45"/>
      <c r="F245" s="98"/>
    </row>
    <row r="246" spans="1:8" ht="16.5" customHeight="1" thickBot="1" x14ac:dyDescent="0.25">
      <c r="A246" s="17" t="s">
        <v>261</v>
      </c>
      <c r="B246" s="21"/>
      <c r="C246" s="21"/>
      <c r="D246" s="22"/>
      <c r="E246" s="23"/>
      <c r="F246" s="16">
        <f>F238+F244</f>
        <v>19524.783667404896</v>
      </c>
    </row>
    <row r="247" spans="1:8" ht="14.1" customHeight="1" x14ac:dyDescent="0.2">
      <c r="A247" s="42"/>
      <c r="B247" s="42"/>
      <c r="C247" s="42"/>
      <c r="D247" s="43"/>
      <c r="E247" s="43"/>
    </row>
    <row r="248" spans="1:8" ht="60" customHeight="1" x14ac:dyDescent="0.2">
      <c r="D248" s="287"/>
      <c r="E248" s="287"/>
    </row>
    <row r="249" spans="1:8" ht="14.1" customHeight="1" x14ac:dyDescent="0.2">
      <c r="D249" s="397" t="s">
        <v>220</v>
      </c>
      <c r="E249" s="397"/>
    </row>
    <row r="250" spans="1:8" s="5" customFormat="1" ht="14.1" customHeight="1" x14ac:dyDescent="0.2">
      <c r="D250" s="386" t="s">
        <v>221</v>
      </c>
      <c r="E250" s="386"/>
    </row>
    <row r="251" spans="1:8" s="5" customFormat="1" ht="11.25" customHeight="1" x14ac:dyDescent="0.2"/>
    <row r="252" spans="1:8" s="5" customFormat="1" ht="11.25" customHeight="1" x14ac:dyDescent="0.2"/>
    <row r="253" spans="1:8" s="5" customFormat="1" ht="11.25" customHeight="1" x14ac:dyDescent="0.2"/>
    <row r="254" spans="1:8" s="5" customFormat="1" ht="11.25" customHeight="1" x14ac:dyDescent="0.2"/>
    <row r="255" spans="1:8" s="5" customFormat="1" ht="11.25" customHeight="1" x14ac:dyDescent="0.2"/>
    <row r="256" spans="1:8" s="39" customFormat="1" ht="11.25" customHeight="1" x14ac:dyDescent="0.2">
      <c r="G256" s="67"/>
    </row>
    <row r="257" spans="7:7" s="39" customFormat="1" ht="11.25" customHeight="1" x14ac:dyDescent="0.2">
      <c r="G257" s="67"/>
    </row>
    <row r="274" spans="4:7" ht="9" customHeight="1" x14ac:dyDescent="0.2">
      <c r="D274" s="7"/>
      <c r="E274" s="7"/>
      <c r="F274" s="7"/>
      <c r="G274" s="7"/>
    </row>
  </sheetData>
  <mergeCells count="11">
    <mergeCell ref="A1:E1"/>
    <mergeCell ref="A2:E2"/>
    <mergeCell ref="D249:E249"/>
    <mergeCell ref="D250:E250"/>
    <mergeCell ref="A41:D41"/>
    <mergeCell ref="A21:C21"/>
    <mergeCell ref="A9:F9"/>
    <mergeCell ref="A10:F10"/>
    <mergeCell ref="A36:D36"/>
    <mergeCell ref="A12:F12"/>
    <mergeCell ref="A35:E35"/>
  </mergeCells>
  <phoneticPr fontId="9" type="noConversion"/>
  <hyperlinks>
    <hyperlink ref="A148" location="AbaRemun" display="3.1.2. Remuneração do Capital"/>
    <hyperlink ref="A131" location="AbaDeprec" display="3.1.1. Depreciação"/>
  </hyperlinks>
  <pageMargins left="0.59055118110236227" right="0.43307086614173229" top="0.38" bottom="0.55118110236220474" header="0.31496062992125984" footer="0.31496062992125984"/>
  <pageSetup paperSize="9" scale="75" fitToHeight="0" orientation="portrait" r:id="rId1"/>
  <headerFooter alignWithMargins="0">
    <oddFooter>&amp;R&amp;P de &amp;N</oddFooter>
  </headerFooter>
  <rowBreaks count="3" manualBreakCount="3">
    <brk id="70" max="5" man="1"/>
    <brk id="131" max="5" man="1"/>
    <brk id="193" max="5" man="1"/>
  </rowBreaks>
  <ignoredErrors>
    <ignoredError sqref="E21" evalError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17"/>
  <sheetViews>
    <sheetView topLeftCell="A169" zoomScaleNormal="100" zoomScaleSheetLayoutView="90" workbookViewId="0">
      <selection activeCell="G149" sqref="G149"/>
    </sheetView>
  </sheetViews>
  <sheetFormatPr defaultRowHeight="12.75" x14ac:dyDescent="0.2"/>
  <cols>
    <col min="1" max="1" width="47.5703125" style="7" customWidth="1"/>
    <col min="2" max="2" width="16" style="7" bestFit="1" customWidth="1"/>
    <col min="3" max="3" width="11.85546875" style="7" customWidth="1"/>
    <col min="4" max="4" width="14.7109375" style="8" customWidth="1"/>
    <col min="5" max="5" width="15.42578125" style="8" customWidth="1"/>
    <col min="6" max="6" width="17.42578125" style="8" customWidth="1"/>
    <col min="7" max="7" width="28.140625" style="8" customWidth="1"/>
    <col min="8" max="8" width="9.140625" style="7"/>
    <col min="9" max="9" width="14.5703125" style="7" customWidth="1"/>
    <col min="10" max="10" width="13.42578125" style="7" customWidth="1"/>
    <col min="11" max="16384" width="9.140625" style="7"/>
  </cols>
  <sheetData>
    <row r="1" spans="1:9" ht="21.75" customHeight="1" x14ac:dyDescent="0.2">
      <c r="A1" s="387" t="s">
        <v>218</v>
      </c>
      <c r="B1" s="388"/>
      <c r="C1" s="388"/>
      <c r="D1" s="388"/>
      <c r="E1" s="388"/>
      <c r="F1" s="233"/>
    </row>
    <row r="2" spans="1:9" ht="21.75" customHeight="1" x14ac:dyDescent="0.2">
      <c r="A2" s="389" t="s">
        <v>219</v>
      </c>
      <c r="B2" s="390"/>
      <c r="C2" s="390"/>
      <c r="D2" s="390"/>
      <c r="E2" s="390"/>
      <c r="F2" s="98"/>
    </row>
    <row r="3" spans="1:9" ht="20.25" customHeight="1" x14ac:dyDescent="0.2">
      <c r="A3" s="302" t="s">
        <v>225</v>
      </c>
      <c r="B3" s="303"/>
      <c r="C3" s="303"/>
      <c r="D3" s="303"/>
      <c r="E3" s="303"/>
      <c r="F3" s="98"/>
    </row>
    <row r="4" spans="1:9" ht="10.5" customHeight="1" thickBot="1" x14ac:dyDescent="0.25">
      <c r="A4" s="272"/>
      <c r="B4" s="273"/>
      <c r="C4" s="273"/>
      <c r="D4" s="274"/>
      <c r="E4" s="274"/>
      <c r="F4" s="275"/>
    </row>
    <row r="5" spans="1:9" ht="15.75" customHeight="1" x14ac:dyDescent="0.2">
      <c r="A5" s="235" t="s">
        <v>165</v>
      </c>
      <c r="B5" s="236"/>
      <c r="C5" s="236"/>
      <c r="D5" s="45"/>
      <c r="E5" s="45"/>
      <c r="F5" s="98"/>
    </row>
    <row r="6" spans="1:9" s="2" customFormat="1" ht="15.6" customHeight="1" x14ac:dyDescent="0.2">
      <c r="A6" s="237" t="s">
        <v>216</v>
      </c>
      <c r="B6" s="236"/>
      <c r="C6" s="232"/>
      <c r="D6" s="105"/>
      <c r="E6" s="105"/>
      <c r="F6" s="238"/>
      <c r="G6" s="4"/>
    </row>
    <row r="7" spans="1:9" s="2" customFormat="1" ht="15.6" customHeight="1" x14ac:dyDescent="0.2">
      <c r="A7" s="239" t="s">
        <v>217</v>
      </c>
      <c r="B7" s="232"/>
      <c r="C7" s="232"/>
      <c r="D7" s="105"/>
      <c r="E7" s="105"/>
      <c r="F7" s="238"/>
      <c r="G7" s="4"/>
    </row>
    <row r="8" spans="1:9" s="2" customFormat="1" ht="12.75" customHeight="1" thickBot="1" x14ac:dyDescent="0.25">
      <c r="A8" s="270"/>
      <c r="B8" s="271"/>
      <c r="C8" s="271"/>
      <c r="D8" s="240"/>
      <c r="E8" s="240"/>
      <c r="F8" s="241"/>
      <c r="G8" s="4"/>
    </row>
    <row r="9" spans="1:9" s="6" customFormat="1" ht="21.75" customHeight="1" x14ac:dyDescent="0.2">
      <c r="A9" s="402" t="s">
        <v>222</v>
      </c>
      <c r="B9" s="403"/>
      <c r="C9" s="403"/>
      <c r="D9" s="403"/>
      <c r="E9" s="403"/>
      <c r="F9" s="404"/>
      <c r="G9" s="27"/>
    </row>
    <row r="10" spans="1:9" s="6" customFormat="1" ht="21" customHeight="1" x14ac:dyDescent="0.2">
      <c r="A10" s="405" t="s">
        <v>36</v>
      </c>
      <c r="B10" s="406"/>
      <c r="C10" s="406"/>
      <c r="D10" s="406"/>
      <c r="E10" s="406"/>
      <c r="F10" s="407"/>
      <c r="G10" s="27"/>
    </row>
    <row r="11" spans="1:9" s="2" customFormat="1" ht="7.5" customHeight="1" thickBot="1" x14ac:dyDescent="0.25">
      <c r="A11" s="112"/>
      <c r="B11" s="113"/>
      <c r="C11" s="113"/>
      <c r="D11" s="114"/>
      <c r="E11" s="114"/>
      <c r="F11" s="115"/>
      <c r="G11" s="4"/>
    </row>
    <row r="12" spans="1:9" s="2" customFormat="1" ht="22.5" customHeight="1" thickBot="1" x14ac:dyDescent="0.25">
      <c r="A12" s="411" t="s">
        <v>164</v>
      </c>
      <c r="B12" s="412"/>
      <c r="C12" s="412"/>
      <c r="D12" s="412"/>
      <c r="E12" s="412"/>
      <c r="F12" s="413"/>
      <c r="G12" s="4"/>
    </row>
    <row r="13" spans="1:9" s="2" customFormat="1" ht="15.75" customHeight="1" x14ac:dyDescent="0.2">
      <c r="A13" s="50" t="s">
        <v>163</v>
      </c>
      <c r="B13" s="28"/>
      <c r="C13" s="28"/>
      <c r="D13" s="174"/>
      <c r="E13" s="88" t="s">
        <v>31</v>
      </c>
      <c r="F13" s="29" t="s">
        <v>1</v>
      </c>
      <c r="G13" s="4"/>
    </row>
    <row r="14" spans="1:9" s="9" customFormat="1" ht="15.75" customHeight="1" x14ac:dyDescent="0.2">
      <c r="A14" s="92" t="str">
        <f>A41</f>
        <v>1. Mão-de-obra</v>
      </c>
      <c r="B14" s="93"/>
      <c r="C14" s="94"/>
      <c r="D14" s="94"/>
      <c r="E14" s="171">
        <f>+F64</f>
        <v>672.48049909090923</v>
      </c>
      <c r="F14" s="95">
        <f t="shared" ref="F14:F28" si="0">IFERROR(E14/$E$29,0)</f>
        <v>5.327698687102337E-2</v>
      </c>
      <c r="G14" s="32"/>
    </row>
    <row r="15" spans="1:9" s="2" customFormat="1" ht="15.75" customHeight="1" x14ac:dyDescent="0.2">
      <c r="A15" s="37" t="str">
        <f>A43</f>
        <v>1.1. Motorista Turno do Dia</v>
      </c>
      <c r="B15" s="33"/>
      <c r="C15" s="35"/>
      <c r="D15" s="35"/>
      <c r="E15" s="172">
        <f>F51</f>
        <v>608.49868090909104</v>
      </c>
      <c r="F15" s="44">
        <f t="shared" si="0"/>
        <v>4.8208054029305211E-2</v>
      </c>
      <c r="G15" s="4"/>
      <c r="I15" s="3"/>
    </row>
    <row r="16" spans="1:9" s="2" customFormat="1" ht="15.75" customHeight="1" x14ac:dyDescent="0.2">
      <c r="A16" s="37" t="str">
        <f>A53</f>
        <v>1.2. Auxílio Refeição</v>
      </c>
      <c r="B16" s="33"/>
      <c r="C16" s="35"/>
      <c r="D16" s="35"/>
      <c r="E16" s="172">
        <f>F56</f>
        <v>36.654545454545456</v>
      </c>
      <c r="F16" s="44">
        <f t="shared" si="0"/>
        <v>2.9039410653321452E-3</v>
      </c>
      <c r="G16" s="4"/>
      <c r="I16" s="202"/>
    </row>
    <row r="17" spans="1:9" s="2" customFormat="1" ht="15.75" customHeight="1" x14ac:dyDescent="0.2">
      <c r="A17" s="37" t="str">
        <f>A58</f>
        <v xml:space="preserve">1.3. Auxílio Alimentação e Abono Indenizatório </v>
      </c>
      <c r="B17" s="33"/>
      <c r="C17" s="35"/>
      <c r="D17" s="35"/>
      <c r="E17" s="172">
        <f>F62</f>
        <v>27.327272727272724</v>
      </c>
      <c r="F17" s="44">
        <f t="shared" si="0"/>
        <v>2.1649917763860186E-3</v>
      </c>
      <c r="G17" s="4"/>
      <c r="I17" s="202"/>
    </row>
    <row r="18" spans="1:9" s="9" customFormat="1" ht="15.75" customHeight="1" x14ac:dyDescent="0.2">
      <c r="A18" s="400" t="str">
        <f>A66</f>
        <v>2. Uniformes e Equipamentos de Proteção Individual</v>
      </c>
      <c r="B18" s="401"/>
      <c r="C18" s="401"/>
      <c r="D18" s="94"/>
      <c r="E18" s="171">
        <f>+F80</f>
        <v>10.034090909090908</v>
      </c>
      <c r="F18" s="95">
        <f t="shared" si="0"/>
        <v>7.9494666439988964E-4</v>
      </c>
      <c r="G18" s="32"/>
      <c r="I18" s="203"/>
    </row>
    <row r="19" spans="1:9" s="9" customFormat="1" ht="15.75" customHeight="1" x14ac:dyDescent="0.2">
      <c r="A19" s="304" t="str">
        <f>A82</f>
        <v>3. Veículos e Equipamentos</v>
      </c>
      <c r="B19" s="103"/>
      <c r="C19" s="94"/>
      <c r="D19" s="94"/>
      <c r="E19" s="171">
        <f>+F166</f>
        <v>9097.2760746753247</v>
      </c>
      <c r="F19" s="95">
        <f t="shared" si="0"/>
        <v>0.72072790013652355</v>
      </c>
      <c r="G19" s="32"/>
      <c r="I19" s="203"/>
    </row>
    <row r="20" spans="1:9" s="2" customFormat="1" ht="15.75" customHeight="1" x14ac:dyDescent="0.2">
      <c r="A20" s="51" t="str">
        <f>A84</f>
        <v>3.1. Veículo Coletor Compactador 15 m³</v>
      </c>
      <c r="B20" s="34"/>
      <c r="C20" s="35"/>
      <c r="D20" s="35"/>
      <c r="E20" s="172">
        <f>SUM(E21:E26)</f>
        <v>9097.2760746753247</v>
      </c>
      <c r="F20" s="107">
        <f t="shared" si="0"/>
        <v>0.72072790013652355</v>
      </c>
      <c r="G20" s="4"/>
      <c r="I20" s="202"/>
    </row>
    <row r="21" spans="1:9" s="2" customFormat="1" ht="15.75" customHeight="1" x14ac:dyDescent="0.2">
      <c r="A21" s="51" t="str">
        <f>A86</f>
        <v>3.1.1. Depreciação</v>
      </c>
      <c r="B21" s="34"/>
      <c r="C21" s="35"/>
      <c r="D21" s="35"/>
      <c r="E21" s="172">
        <f>F101</f>
        <v>318.49318181818182</v>
      </c>
      <c r="F21" s="107">
        <f t="shared" si="0"/>
        <v>2.5232489401813669E-2</v>
      </c>
      <c r="G21" s="4"/>
      <c r="I21" s="202"/>
    </row>
    <row r="22" spans="1:9" s="2" customFormat="1" ht="15.75" customHeight="1" x14ac:dyDescent="0.2">
      <c r="A22" s="51" t="str">
        <f>A103</f>
        <v>3.1.2. Remuneração do Capital</v>
      </c>
      <c r="B22" s="34"/>
      <c r="C22" s="35"/>
      <c r="D22" s="35"/>
      <c r="E22" s="172">
        <f>F118</f>
        <v>295.72568181818178</v>
      </c>
      <c r="F22" s="107">
        <f t="shared" si="0"/>
        <v>2.342874371665879E-2</v>
      </c>
      <c r="G22" s="4"/>
      <c r="I22" s="202"/>
    </row>
    <row r="23" spans="1:9" s="2" customFormat="1" ht="15.75" customHeight="1" x14ac:dyDescent="0.2">
      <c r="A23" s="51" t="str">
        <f>A120</f>
        <v>3.1.3. Impostos e Seguros</v>
      </c>
      <c r="B23" s="34"/>
      <c r="C23" s="35"/>
      <c r="D23" s="35"/>
      <c r="E23" s="172">
        <f>F127</f>
        <v>63.606818181818177</v>
      </c>
      <c r="F23" s="107">
        <f t="shared" si="0"/>
        <v>5.039223623229833E-3</v>
      </c>
      <c r="G23" s="4"/>
    </row>
    <row r="24" spans="1:9" s="2" customFormat="1" ht="15.75" customHeight="1" x14ac:dyDescent="0.2">
      <c r="A24" s="51" t="str">
        <f>A129</f>
        <v>3.1.4. Consumos</v>
      </c>
      <c r="B24" s="34"/>
      <c r="C24" s="35"/>
      <c r="D24" s="35"/>
      <c r="E24" s="172">
        <f>F147</f>
        <v>6007.481642857143</v>
      </c>
      <c r="F24" s="107">
        <f t="shared" si="0"/>
        <v>0.47594022584608298</v>
      </c>
      <c r="G24" s="4"/>
    </row>
    <row r="25" spans="1:9" s="2" customFormat="1" ht="15.75" customHeight="1" x14ac:dyDescent="0.2">
      <c r="A25" s="51" t="str">
        <f>A149</f>
        <v>3.1.5. Manutenção</v>
      </c>
      <c r="B25" s="34"/>
      <c r="C25" s="35"/>
      <c r="D25" s="35"/>
      <c r="E25" s="172">
        <f>F153</f>
        <v>1975</v>
      </c>
      <c r="F25" s="107">
        <f t="shared" si="0"/>
        <v>0.15646855070521046</v>
      </c>
      <c r="G25" s="4"/>
    </row>
    <row r="26" spans="1:9" s="2" customFormat="1" ht="15.75" customHeight="1" x14ac:dyDescent="0.2">
      <c r="A26" s="51" t="str">
        <f>A155</f>
        <v>3.1.6. Pneus</v>
      </c>
      <c r="B26" s="34"/>
      <c r="C26" s="35"/>
      <c r="D26" s="35"/>
      <c r="E26" s="172">
        <f>F163</f>
        <v>436.96875</v>
      </c>
      <c r="F26" s="107">
        <f t="shared" si="0"/>
        <v>3.4618666843527809E-2</v>
      </c>
      <c r="G26" s="4"/>
      <c r="H26" s="3"/>
    </row>
    <row r="27" spans="1:9" s="9" customFormat="1" ht="15.75" customHeight="1" x14ac:dyDescent="0.2">
      <c r="A27" s="304" t="str">
        <f>A170</f>
        <v>5. Monitoramento da Frota</v>
      </c>
      <c r="B27" s="103"/>
      <c r="C27" s="94"/>
      <c r="D27" s="94"/>
      <c r="E27" s="200">
        <f>F177</f>
        <v>16.363636363636363</v>
      </c>
      <c r="F27" s="95">
        <f t="shared" si="0"/>
        <v>1.2964022613089934E-3</v>
      </c>
      <c r="G27" s="32"/>
    </row>
    <row r="28" spans="1:9" s="9" customFormat="1" ht="15.75" customHeight="1" thickBot="1" x14ac:dyDescent="0.25">
      <c r="A28" s="304" t="str">
        <f>A182</f>
        <v>6. Benefícios e Despesas Indiretas - BDI</v>
      </c>
      <c r="B28" s="103"/>
      <c r="C28" s="94"/>
      <c r="D28" s="94"/>
      <c r="E28" s="173">
        <f>F186</f>
        <v>2826.1905158497402</v>
      </c>
      <c r="F28" s="95">
        <f t="shared" si="0"/>
        <v>0.22390376406674428</v>
      </c>
      <c r="G28" s="32"/>
    </row>
    <row r="29" spans="1:9" s="2" customFormat="1" ht="15.75" customHeight="1" thickBot="1" x14ac:dyDescent="0.25">
      <c r="A29" s="30" t="s">
        <v>268</v>
      </c>
      <c r="B29" s="31"/>
      <c r="C29" s="19"/>
      <c r="D29" s="19"/>
      <c r="E29" s="87">
        <f>E14+E18+E19+E27+E28</f>
        <v>12622.344816888701</v>
      </c>
      <c r="F29" s="106">
        <f>F14+F18+F19+F27+F28</f>
        <v>1</v>
      </c>
      <c r="G29" s="4"/>
    </row>
    <row r="30" spans="1:9" ht="13.5" thickBot="1" x14ac:dyDescent="0.25">
      <c r="A30" s="234"/>
      <c r="B30" s="41"/>
      <c r="C30" s="41"/>
      <c r="D30" s="45"/>
      <c r="E30" s="45"/>
      <c r="F30" s="98"/>
    </row>
    <row r="31" spans="1:9" s="2" customFormat="1" ht="20.25" customHeight="1" thickBot="1" x14ac:dyDescent="0.25">
      <c r="A31" s="411" t="s">
        <v>79</v>
      </c>
      <c r="B31" s="412"/>
      <c r="C31" s="412"/>
      <c r="D31" s="412"/>
      <c r="E31" s="413"/>
      <c r="F31" s="98"/>
      <c r="G31" s="4"/>
    </row>
    <row r="32" spans="1:9" s="2" customFormat="1" ht="15" customHeight="1" thickBot="1" x14ac:dyDescent="0.25">
      <c r="A32" s="408" t="s">
        <v>32</v>
      </c>
      <c r="B32" s="409"/>
      <c r="C32" s="409"/>
      <c r="D32" s="410"/>
      <c r="E32" s="317" t="s">
        <v>33</v>
      </c>
      <c r="F32" s="98"/>
      <c r="G32" s="4"/>
    </row>
    <row r="33" spans="1:9" s="2" customFormat="1" ht="15" customHeight="1" x14ac:dyDescent="0.2">
      <c r="A33" s="313" t="str">
        <f>+A43</f>
        <v>1.1. Motorista Turno do Dia</v>
      </c>
      <c r="B33" s="314"/>
      <c r="C33" s="314"/>
      <c r="D33" s="315"/>
      <c r="E33" s="316">
        <v>1</v>
      </c>
      <c r="F33" s="98"/>
      <c r="G33" s="4"/>
    </row>
    <row r="34" spans="1:9" s="2" customFormat="1" ht="15" customHeight="1" thickBot="1" x14ac:dyDescent="0.25">
      <c r="A34" s="57" t="s">
        <v>51</v>
      </c>
      <c r="B34" s="58"/>
      <c r="C34" s="58"/>
      <c r="D34" s="64"/>
      <c r="E34" s="65">
        <f>SUM(E33:E33)</f>
        <v>1</v>
      </c>
      <c r="F34" s="98"/>
      <c r="G34" s="4"/>
    </row>
    <row r="35" spans="1:9" s="2" customFormat="1" ht="15" customHeight="1" thickBot="1" x14ac:dyDescent="0.25">
      <c r="A35" s="96"/>
      <c r="B35" s="97"/>
      <c r="C35" s="45"/>
      <c r="D35" s="45"/>
      <c r="E35" s="98"/>
      <c r="F35" s="98"/>
      <c r="G35" s="4"/>
    </row>
    <row r="36" spans="1:9" s="2" customFormat="1" ht="15" customHeight="1" thickBot="1" x14ac:dyDescent="0.25">
      <c r="A36" s="414" t="s">
        <v>49</v>
      </c>
      <c r="B36" s="415"/>
      <c r="C36" s="415"/>
      <c r="D36" s="415"/>
      <c r="E36" s="317" t="s">
        <v>33</v>
      </c>
      <c r="F36" s="245"/>
      <c r="G36" s="4"/>
    </row>
    <row r="37" spans="1:9" s="2" customFormat="1" ht="17.25" customHeight="1" thickBot="1" x14ac:dyDescent="0.25">
      <c r="A37" s="318" t="str">
        <f>+A84</f>
        <v>3.1. Veículo Coletor Compactador 15 m³</v>
      </c>
      <c r="B37" s="274"/>
      <c r="C37" s="274"/>
      <c r="D37" s="273"/>
      <c r="E37" s="319">
        <v>1</v>
      </c>
      <c r="F37" s="245"/>
      <c r="G37" s="4"/>
    </row>
    <row r="38" spans="1:9" s="2" customFormat="1" ht="15" customHeight="1" thickBot="1" x14ac:dyDescent="0.25">
      <c r="A38" s="246"/>
      <c r="B38" s="45"/>
      <c r="C38" s="45"/>
      <c r="D38" s="41"/>
      <c r="E38" s="170"/>
      <c r="F38" s="245"/>
      <c r="G38" s="4"/>
    </row>
    <row r="39" spans="1:9" s="9" customFormat="1" ht="15.75" customHeight="1" thickBot="1" x14ac:dyDescent="0.25">
      <c r="A39" s="175" t="s">
        <v>160</v>
      </c>
      <c r="B39" s="276">
        <f>6/44</f>
        <v>0.13636363636363635</v>
      </c>
      <c r="C39" s="26"/>
      <c r="D39" s="25"/>
      <c r="E39" s="116"/>
      <c r="F39" s="247"/>
      <c r="G39" s="32"/>
    </row>
    <row r="40" spans="1:9" s="2" customFormat="1" ht="12" customHeight="1" x14ac:dyDescent="0.2">
      <c r="A40" s="246"/>
      <c r="B40" s="311"/>
      <c r="C40" s="45"/>
      <c r="D40" s="41"/>
      <c r="E40" s="54"/>
      <c r="F40" s="245"/>
      <c r="G40" s="4"/>
    </row>
    <row r="41" spans="1:9" ht="13.15" customHeight="1" x14ac:dyDescent="0.2">
      <c r="A41" s="248" t="s">
        <v>40</v>
      </c>
      <c r="B41" s="41"/>
      <c r="C41" s="41"/>
      <c r="D41" s="45"/>
      <c r="E41" s="45"/>
      <c r="F41" s="98"/>
    </row>
    <row r="42" spans="1:9" ht="11.25" customHeight="1" x14ac:dyDescent="0.2">
      <c r="A42" s="234"/>
      <c r="B42" s="41"/>
      <c r="C42" s="41"/>
      <c r="D42" s="45"/>
      <c r="E42" s="45"/>
      <c r="F42" s="98"/>
    </row>
    <row r="43" spans="1:9" ht="13.5" thickBot="1" x14ac:dyDescent="0.25">
      <c r="A43" s="242" t="s">
        <v>223</v>
      </c>
      <c r="B43" s="41"/>
      <c r="C43" s="41"/>
      <c r="D43" s="45"/>
      <c r="E43" s="45"/>
      <c r="F43" s="98"/>
    </row>
    <row r="44" spans="1:9" s="10" customFormat="1" ht="13.15" customHeight="1" thickBot="1" x14ac:dyDescent="0.25">
      <c r="A44" s="46" t="s">
        <v>54</v>
      </c>
      <c r="B44" s="47" t="s">
        <v>55</v>
      </c>
      <c r="C44" s="47" t="s">
        <v>33</v>
      </c>
      <c r="D44" s="48" t="s">
        <v>185</v>
      </c>
      <c r="E44" s="48" t="s">
        <v>56</v>
      </c>
      <c r="F44" s="49" t="s">
        <v>57</v>
      </c>
      <c r="G44" s="8"/>
    </row>
    <row r="45" spans="1:9" ht="14.25" x14ac:dyDescent="0.2">
      <c r="A45" s="254" t="s">
        <v>204</v>
      </c>
      <c r="B45" s="11" t="s">
        <v>6</v>
      </c>
      <c r="C45" s="11">
        <v>1</v>
      </c>
      <c r="D45" s="70">
        <f>'1. Coleta Domiciliar'!D59</f>
        <v>2350.5500000000002</v>
      </c>
      <c r="E45" s="12">
        <f>C45*D45</f>
        <v>2350.5500000000002</v>
      </c>
      <c r="F45" s="98"/>
      <c r="I45" s="198"/>
    </row>
    <row r="46" spans="1:9" x14ac:dyDescent="0.2">
      <c r="A46" s="255" t="s">
        <v>205</v>
      </c>
      <c r="B46" s="13" t="s">
        <v>1</v>
      </c>
      <c r="C46" s="189">
        <v>20</v>
      </c>
      <c r="D46" s="66">
        <v>1412</v>
      </c>
      <c r="E46" s="14">
        <f>C46*D46/100</f>
        <v>282.39999999999998</v>
      </c>
      <c r="F46" s="98"/>
    </row>
    <row r="47" spans="1:9" s="9" customFormat="1" x14ac:dyDescent="0.2">
      <c r="A47" s="256" t="s">
        <v>2</v>
      </c>
      <c r="B47" s="252"/>
      <c r="C47" s="252"/>
      <c r="D47" s="24"/>
      <c r="E47" s="82">
        <f>SUM(E45:E46)</f>
        <v>2632.9500000000003</v>
      </c>
      <c r="F47" s="257"/>
      <c r="G47" s="32"/>
    </row>
    <row r="48" spans="1:9" x14ac:dyDescent="0.2">
      <c r="A48" s="250" t="s">
        <v>3</v>
      </c>
      <c r="B48" s="13" t="s">
        <v>1</v>
      </c>
      <c r="C48" s="213">
        <f>'4 .Encargos Sociais'!D34</f>
        <v>0.69480000000000008</v>
      </c>
      <c r="D48" s="14">
        <f>E47</f>
        <v>2632.9500000000003</v>
      </c>
      <c r="E48" s="14">
        <f>D48*C48</f>
        <v>1829.3736600000004</v>
      </c>
      <c r="F48" s="98"/>
    </row>
    <row r="49" spans="1:7" s="9" customFormat="1" x14ac:dyDescent="0.2">
      <c r="A49" s="256" t="s">
        <v>192</v>
      </c>
      <c r="B49" s="181"/>
      <c r="C49" s="181"/>
      <c r="D49" s="182"/>
      <c r="E49" s="82">
        <f>E47+E48</f>
        <v>4462.3236600000009</v>
      </c>
      <c r="F49" s="257"/>
      <c r="G49" s="32"/>
    </row>
    <row r="50" spans="1:7" ht="13.5" thickBot="1" x14ac:dyDescent="0.25">
      <c r="A50" s="250" t="s">
        <v>4</v>
      </c>
      <c r="B50" s="13" t="s">
        <v>5</v>
      </c>
      <c r="C50" s="197">
        <f>E33</f>
        <v>1</v>
      </c>
      <c r="D50" s="14">
        <f>E49</f>
        <v>4462.3236600000009</v>
      </c>
      <c r="E50" s="14">
        <f>C50*D50</f>
        <v>4462.3236600000009</v>
      </c>
      <c r="F50" s="98"/>
    </row>
    <row r="51" spans="1:7" ht="13.5" thickBot="1" x14ac:dyDescent="0.25">
      <c r="A51" s="281"/>
      <c r="B51" s="279"/>
      <c r="C51" s="279"/>
      <c r="D51" s="280" t="s">
        <v>159</v>
      </c>
      <c r="E51" s="312">
        <f>B39</f>
        <v>0.13636363636363635</v>
      </c>
      <c r="F51" s="91">
        <f>E50*E51</f>
        <v>608.49868090909104</v>
      </c>
    </row>
    <row r="52" spans="1:7" x14ac:dyDescent="0.2">
      <c r="A52" s="234"/>
      <c r="B52" s="41"/>
      <c r="C52" s="41"/>
      <c r="D52" s="253"/>
      <c r="E52" s="340"/>
      <c r="F52" s="258"/>
    </row>
    <row r="53" spans="1:7" ht="13.5" thickBot="1" x14ac:dyDescent="0.25">
      <c r="A53" s="242" t="s">
        <v>262</v>
      </c>
      <c r="B53" s="41"/>
      <c r="C53" s="41"/>
      <c r="D53" s="45"/>
      <c r="E53" s="45"/>
      <c r="F53" s="258"/>
      <c r="G53" s="7"/>
    </row>
    <row r="54" spans="1:7" ht="13.5" thickBot="1" x14ac:dyDescent="0.25">
      <c r="A54" s="46" t="s">
        <v>54</v>
      </c>
      <c r="B54" s="47" t="s">
        <v>55</v>
      </c>
      <c r="C54" s="47" t="s">
        <v>33</v>
      </c>
      <c r="D54" s="48" t="s">
        <v>185</v>
      </c>
      <c r="E54" s="48" t="s">
        <v>56</v>
      </c>
      <c r="F54" s="49" t="s">
        <v>57</v>
      </c>
      <c r="G54" s="7"/>
    </row>
    <row r="55" spans="1:7" ht="13.5" thickBot="1" x14ac:dyDescent="0.25">
      <c r="A55" s="255" t="s">
        <v>37</v>
      </c>
      <c r="B55" s="13" t="s">
        <v>7</v>
      </c>
      <c r="C55" s="197">
        <v>1</v>
      </c>
      <c r="D55" s="74">
        <f>'1. Coleta Domiciliar'!D69</f>
        <v>268.8</v>
      </c>
      <c r="E55" s="38">
        <f>C55*D55</f>
        <v>268.8</v>
      </c>
      <c r="F55" s="258"/>
      <c r="G55" s="7"/>
    </row>
    <row r="56" spans="1:7" ht="13.5" thickBot="1" x14ac:dyDescent="0.25">
      <c r="A56" s="281"/>
      <c r="B56" s="279"/>
      <c r="C56" s="279"/>
      <c r="D56" s="280" t="s">
        <v>159</v>
      </c>
      <c r="E56" s="312">
        <f>B39</f>
        <v>0.13636363636363635</v>
      </c>
      <c r="F56" s="16">
        <f>SUM(E55:E55)*E56</f>
        <v>36.654545454545456</v>
      </c>
      <c r="G56" s="7"/>
    </row>
    <row r="57" spans="1:7" x14ac:dyDescent="0.2">
      <c r="A57" s="234"/>
      <c r="B57" s="41"/>
      <c r="C57" s="41"/>
      <c r="D57" s="253"/>
      <c r="E57" s="340"/>
      <c r="F57" s="98"/>
      <c r="G57" s="7"/>
    </row>
    <row r="58" spans="1:7" s="5" customFormat="1" ht="15.75" customHeight="1" thickBot="1" x14ac:dyDescent="0.25">
      <c r="A58" s="242" t="s">
        <v>263</v>
      </c>
      <c r="B58" s="104"/>
      <c r="C58" s="104"/>
      <c r="D58" s="210"/>
      <c r="E58" s="210"/>
      <c r="F58" s="258"/>
    </row>
    <row r="59" spans="1:7" s="5" customFormat="1" ht="15.75" customHeight="1" thickBot="1" x14ac:dyDescent="0.25">
      <c r="A59" s="46" t="s">
        <v>54</v>
      </c>
      <c r="B59" s="47" t="s">
        <v>55</v>
      </c>
      <c r="C59" s="47" t="s">
        <v>33</v>
      </c>
      <c r="D59" s="48" t="s">
        <v>185</v>
      </c>
      <c r="E59" s="48" t="s">
        <v>56</v>
      </c>
      <c r="F59" s="49" t="s">
        <v>57</v>
      </c>
    </row>
    <row r="60" spans="1:7" s="5" customFormat="1" ht="15.75" customHeight="1" x14ac:dyDescent="0.2">
      <c r="A60" s="255" t="s">
        <v>243</v>
      </c>
      <c r="B60" s="201" t="s">
        <v>244</v>
      </c>
      <c r="C60" s="353">
        <f>E33</f>
        <v>1</v>
      </c>
      <c r="D60" s="360">
        <v>99</v>
      </c>
      <c r="E60" s="208">
        <f>C60*D60</f>
        <v>99</v>
      </c>
      <c r="F60" s="258"/>
    </row>
    <row r="61" spans="1:7" ht="13.5" thickBot="1" x14ac:dyDescent="0.25">
      <c r="A61" s="255" t="s">
        <v>245</v>
      </c>
      <c r="B61" s="201" t="s">
        <v>244</v>
      </c>
      <c r="C61" s="353">
        <f>E33</f>
        <v>1</v>
      </c>
      <c r="D61" s="360">
        <v>101.4</v>
      </c>
      <c r="E61" s="208">
        <f>C61*D61</f>
        <v>101.4</v>
      </c>
      <c r="F61" s="258"/>
      <c r="G61" s="7"/>
    </row>
    <row r="62" spans="1:7" ht="13.5" thickBot="1" x14ac:dyDescent="0.25">
      <c r="A62" s="242"/>
      <c r="B62" s="104"/>
      <c r="C62" s="104"/>
      <c r="D62" s="269" t="s">
        <v>159</v>
      </c>
      <c r="E62" s="356">
        <f>B39</f>
        <v>0.13636363636363635</v>
      </c>
      <c r="F62" s="16">
        <f>SUM(E60:E61)*E62</f>
        <v>27.327272727272724</v>
      </c>
      <c r="G62" s="7"/>
    </row>
    <row r="63" spans="1:7" ht="13.5" thickBot="1" x14ac:dyDescent="0.25">
      <c r="A63" s="234"/>
      <c r="B63" s="41"/>
      <c r="C63" s="41"/>
      <c r="D63" s="45"/>
      <c r="E63" s="45"/>
      <c r="F63" s="98"/>
      <c r="G63" s="7"/>
    </row>
    <row r="64" spans="1:7" ht="13.5" thickBot="1" x14ac:dyDescent="0.25">
      <c r="A64" s="17" t="s">
        <v>77</v>
      </c>
      <c r="B64" s="18"/>
      <c r="C64" s="18"/>
      <c r="D64" s="19"/>
      <c r="E64" s="20"/>
      <c r="F64" s="16">
        <f>F56+F51+F62</f>
        <v>672.48049909090923</v>
      </c>
      <c r="G64" s="7"/>
    </row>
    <row r="65" spans="1:7" ht="6.75" customHeight="1" x14ac:dyDescent="0.2">
      <c r="A65" s="248"/>
      <c r="B65" s="25"/>
      <c r="C65" s="25"/>
      <c r="D65" s="26"/>
      <c r="E65" s="26"/>
      <c r="F65" s="257"/>
      <c r="G65" s="7"/>
    </row>
    <row r="66" spans="1:7" ht="15.75" customHeight="1" x14ac:dyDescent="0.2">
      <c r="A66" s="277" t="s">
        <v>38</v>
      </c>
      <c r="B66" s="41"/>
      <c r="C66" s="41"/>
      <c r="D66" s="45"/>
      <c r="E66" s="45"/>
      <c r="F66" s="98"/>
      <c r="G66" s="7"/>
    </row>
    <row r="67" spans="1:7" ht="8.25" customHeight="1" x14ac:dyDescent="0.2">
      <c r="A67" s="234"/>
      <c r="B67" s="41"/>
      <c r="C67" s="41"/>
      <c r="D67" s="45"/>
      <c r="E67" s="45"/>
      <c r="F67" s="98"/>
      <c r="G67" s="7"/>
    </row>
    <row r="68" spans="1:7" ht="13.9" customHeight="1" x14ac:dyDescent="0.2">
      <c r="A68" s="242" t="s">
        <v>224</v>
      </c>
      <c r="B68" s="41"/>
      <c r="C68" s="41"/>
      <c r="D68" s="45"/>
      <c r="E68" s="45"/>
      <c r="F68" s="98"/>
      <c r="G68" s="195"/>
    </row>
    <row r="69" spans="1:7" ht="11.25" customHeight="1" thickBot="1" x14ac:dyDescent="0.25">
      <c r="A69" s="234"/>
      <c r="B69" s="41"/>
      <c r="C69" s="41"/>
      <c r="D69" s="45"/>
      <c r="E69" s="45"/>
      <c r="F69" s="98"/>
    </row>
    <row r="70" spans="1:7" ht="24.75" thickBot="1" x14ac:dyDescent="0.25">
      <c r="A70" s="46" t="s">
        <v>54</v>
      </c>
      <c r="B70" s="47" t="s">
        <v>55</v>
      </c>
      <c r="C70" s="183" t="s">
        <v>193</v>
      </c>
      <c r="D70" s="48" t="s">
        <v>185</v>
      </c>
      <c r="E70" s="48" t="s">
        <v>56</v>
      </c>
      <c r="F70" s="49" t="s">
        <v>57</v>
      </c>
    </row>
    <row r="71" spans="1:7" x14ac:dyDescent="0.2">
      <c r="A71" s="254" t="s">
        <v>251</v>
      </c>
      <c r="B71" s="13" t="s">
        <v>7</v>
      </c>
      <c r="C71" s="72">
        <f>'1. Coleta Domiciliar'!C116</f>
        <v>12</v>
      </c>
      <c r="D71" s="70">
        <f>'1. Coleta Domiciliar'!D116</f>
        <v>150</v>
      </c>
      <c r="E71" s="338">
        <f>IFERROR(D71/C71,0)</f>
        <v>12.5</v>
      </c>
      <c r="F71" s="98"/>
    </row>
    <row r="72" spans="1:7" x14ac:dyDescent="0.2">
      <c r="A72" s="250" t="s">
        <v>25</v>
      </c>
      <c r="B72" s="13" t="s">
        <v>7</v>
      </c>
      <c r="C72" s="72">
        <f>'1. Coleta Domiciliar'!C117</f>
        <v>4</v>
      </c>
      <c r="D72" s="70">
        <f>'1. Coleta Domiciliar'!D117</f>
        <v>65</v>
      </c>
      <c r="E72" s="338">
        <f t="shared" ref="E72:E76" si="1">IFERROR(D72/C72,0)</f>
        <v>16.25</v>
      </c>
      <c r="F72" s="98"/>
    </row>
    <row r="73" spans="1:7" x14ac:dyDescent="0.2">
      <c r="A73" s="250" t="s">
        <v>26</v>
      </c>
      <c r="B73" s="13" t="s">
        <v>7</v>
      </c>
      <c r="C73" s="72">
        <f>'1. Coleta Domiciliar'!C118</f>
        <v>3</v>
      </c>
      <c r="D73" s="70">
        <f>'1. Coleta Domiciliar'!D118</f>
        <v>26</v>
      </c>
      <c r="E73" s="338">
        <f t="shared" si="1"/>
        <v>8.6666666666666661</v>
      </c>
      <c r="F73" s="98"/>
    </row>
    <row r="74" spans="1:7" x14ac:dyDescent="0.2">
      <c r="A74" s="255" t="s">
        <v>207</v>
      </c>
      <c r="B74" s="13" t="s">
        <v>41</v>
      </c>
      <c r="C74" s="72">
        <f>'1. Coleta Domiciliar'!C119</f>
        <v>4</v>
      </c>
      <c r="D74" s="70">
        <f>'1. Coleta Domiciliar'!D119</f>
        <v>70</v>
      </c>
      <c r="E74" s="338">
        <f t="shared" si="1"/>
        <v>17.5</v>
      </c>
      <c r="F74" s="98"/>
    </row>
    <row r="75" spans="1:7" x14ac:dyDescent="0.2">
      <c r="A75" s="250" t="s">
        <v>58</v>
      </c>
      <c r="B75" s="13" t="s">
        <v>41</v>
      </c>
      <c r="C75" s="72">
        <f>'1. Coleta Domiciliar'!C120</f>
        <v>6</v>
      </c>
      <c r="D75" s="70">
        <f>'1. Coleta Domiciliar'!D120</f>
        <v>67</v>
      </c>
      <c r="E75" s="338">
        <f t="shared" si="1"/>
        <v>11.166666666666666</v>
      </c>
      <c r="F75" s="98"/>
    </row>
    <row r="76" spans="1:7" x14ac:dyDescent="0.2">
      <c r="A76" s="250" t="s">
        <v>53</v>
      </c>
      <c r="B76" s="13" t="s">
        <v>42</v>
      </c>
      <c r="C76" s="72">
        <f>'1. Coleta Domiciliar'!C121</f>
        <v>2</v>
      </c>
      <c r="D76" s="70">
        <f>'1. Coleta Domiciliar'!D121</f>
        <v>15</v>
      </c>
      <c r="E76" s="338">
        <f t="shared" si="1"/>
        <v>7.5</v>
      </c>
      <c r="F76" s="98"/>
      <c r="G76" s="7"/>
    </row>
    <row r="77" spans="1:7" ht="13.5" thickBot="1" x14ac:dyDescent="0.25">
      <c r="A77" s="250" t="s">
        <v>4</v>
      </c>
      <c r="B77" s="13" t="s">
        <v>5</v>
      </c>
      <c r="C77" s="55">
        <f>E33</f>
        <v>1</v>
      </c>
      <c r="D77" s="14">
        <f>SUM(E71:E76)</f>
        <v>73.583333333333329</v>
      </c>
      <c r="E77" s="14">
        <f>C77*D77</f>
        <v>73.583333333333329</v>
      </c>
      <c r="F77" s="98"/>
      <c r="G77" s="7"/>
    </row>
    <row r="78" spans="1:7" ht="13.5" thickBot="1" x14ac:dyDescent="0.25">
      <c r="A78" s="281"/>
      <c r="B78" s="279"/>
      <c r="C78" s="279"/>
      <c r="D78" s="280" t="s">
        <v>159</v>
      </c>
      <c r="E78" s="312">
        <f>B39</f>
        <v>0.13636363636363635</v>
      </c>
      <c r="F78" s="91">
        <f>E77*E78</f>
        <v>10.034090909090908</v>
      </c>
      <c r="G78" s="7"/>
    </row>
    <row r="79" spans="1:7" ht="11.25" customHeight="1" thickBot="1" x14ac:dyDescent="0.25">
      <c r="A79" s="234"/>
      <c r="B79" s="41"/>
      <c r="C79" s="41"/>
      <c r="D79" s="45"/>
      <c r="E79" s="45"/>
      <c r="F79" s="98"/>
      <c r="G79" s="7"/>
    </row>
    <row r="80" spans="1:7" ht="13.5" thickBot="1" x14ac:dyDescent="0.25">
      <c r="A80" s="17" t="s">
        <v>162</v>
      </c>
      <c r="B80" s="21"/>
      <c r="C80" s="21"/>
      <c r="D80" s="22"/>
      <c r="E80" s="23"/>
      <c r="F80" s="15">
        <f>F78</f>
        <v>10.034090909090908</v>
      </c>
      <c r="G80" s="7"/>
    </row>
    <row r="81" spans="1:10" ht="6" customHeight="1" x14ac:dyDescent="0.2">
      <c r="A81" s="234"/>
      <c r="B81" s="41"/>
      <c r="C81" s="41"/>
      <c r="D81" s="45"/>
      <c r="E81" s="45"/>
      <c r="F81" s="98"/>
      <c r="G81" s="7"/>
    </row>
    <row r="82" spans="1:10" x14ac:dyDescent="0.2">
      <c r="A82" s="248" t="s">
        <v>47</v>
      </c>
      <c r="B82" s="41"/>
      <c r="C82" s="41"/>
      <c r="D82" s="45"/>
      <c r="E82" s="45"/>
      <c r="F82" s="98"/>
      <c r="G82" s="7"/>
    </row>
    <row r="83" spans="1:10" ht="9" customHeight="1" x14ac:dyDescent="0.2">
      <c r="A83" s="234"/>
      <c r="B83" s="259"/>
      <c r="C83" s="41"/>
      <c r="D83" s="45"/>
      <c r="E83" s="45"/>
      <c r="F83" s="98"/>
      <c r="G83" s="7"/>
    </row>
    <row r="84" spans="1:10" x14ac:dyDescent="0.2">
      <c r="A84" s="242" t="s">
        <v>200</v>
      </c>
      <c r="B84" s="41"/>
      <c r="C84" s="41"/>
      <c r="D84" s="45"/>
      <c r="E84" s="45"/>
      <c r="F84" s="98"/>
      <c r="G84" s="7"/>
    </row>
    <row r="85" spans="1:10" ht="11.25" customHeight="1" x14ac:dyDescent="0.2">
      <c r="A85" s="234"/>
      <c r="B85" s="41"/>
      <c r="C85" s="41"/>
      <c r="D85" s="45"/>
      <c r="E85" s="45"/>
      <c r="F85" s="98"/>
      <c r="G85" s="7"/>
    </row>
    <row r="86" spans="1:10" x14ac:dyDescent="0.2">
      <c r="A86" s="285" t="s">
        <v>39</v>
      </c>
      <c r="B86" s="41"/>
      <c r="C86" s="41"/>
      <c r="D86" s="45"/>
      <c r="E86" s="45"/>
      <c r="F86" s="98"/>
      <c r="G86" s="7"/>
    </row>
    <row r="87" spans="1:10" ht="7.5" customHeight="1" thickBot="1" x14ac:dyDescent="0.25">
      <c r="A87" s="260"/>
      <c r="B87" s="41"/>
      <c r="C87" s="41"/>
      <c r="D87" s="45"/>
      <c r="E87" s="45"/>
      <c r="F87" s="98"/>
      <c r="G87" s="7"/>
    </row>
    <row r="88" spans="1:10" ht="13.5" thickBot="1" x14ac:dyDescent="0.25">
      <c r="A88" s="46" t="s">
        <v>54</v>
      </c>
      <c r="B88" s="47" t="s">
        <v>55</v>
      </c>
      <c r="C88" s="47" t="s">
        <v>33</v>
      </c>
      <c r="D88" s="48" t="s">
        <v>185</v>
      </c>
      <c r="E88" s="48" t="s">
        <v>56</v>
      </c>
      <c r="F88" s="49" t="s">
        <v>57</v>
      </c>
      <c r="G88" s="7"/>
    </row>
    <row r="89" spans="1:10" x14ac:dyDescent="0.2">
      <c r="A89" s="249" t="s">
        <v>87</v>
      </c>
      <c r="B89" s="11" t="s">
        <v>7</v>
      </c>
      <c r="C89" s="188">
        <v>1</v>
      </c>
      <c r="D89" s="70">
        <f>'1. Coleta Domiciliar'!D134</f>
        <v>300000</v>
      </c>
      <c r="E89" s="12">
        <f>C89*D89</f>
        <v>300000</v>
      </c>
      <c r="F89" s="98"/>
      <c r="G89" s="7"/>
    </row>
    <row r="90" spans="1:10" x14ac:dyDescent="0.2">
      <c r="A90" s="250" t="s">
        <v>81</v>
      </c>
      <c r="B90" s="13" t="s">
        <v>82</v>
      </c>
      <c r="C90" s="69">
        <f>'1. Coleta Domiciliar'!C135</f>
        <v>10</v>
      </c>
      <c r="D90" s="66"/>
      <c r="E90" s="14"/>
      <c r="F90" s="98"/>
      <c r="G90" s="7"/>
    </row>
    <row r="91" spans="1:10" x14ac:dyDescent="0.2">
      <c r="A91" s="250" t="s">
        <v>168</v>
      </c>
      <c r="B91" s="13" t="s">
        <v>82</v>
      </c>
      <c r="C91" s="69">
        <f>'1. Coleta Domiciliar'!C136</f>
        <v>0</v>
      </c>
      <c r="D91" s="14"/>
      <c r="E91" s="14"/>
      <c r="F91" s="261"/>
      <c r="I91" s="68"/>
      <c r="J91" s="68"/>
    </row>
    <row r="92" spans="1:10" x14ac:dyDescent="0.2">
      <c r="A92" s="250" t="s">
        <v>85</v>
      </c>
      <c r="B92" s="13" t="s">
        <v>1</v>
      </c>
      <c r="C92" s="199">
        <v>65.180000000000007</v>
      </c>
      <c r="D92" s="14">
        <f>E89</f>
        <v>300000</v>
      </c>
      <c r="E92" s="14">
        <f>C92*D92/100</f>
        <v>195540.00000000003</v>
      </c>
      <c r="F92" s="98"/>
    </row>
    <row r="93" spans="1:10" ht="13.5" thickBot="1" x14ac:dyDescent="0.25">
      <c r="A93" s="262" t="s">
        <v>43</v>
      </c>
      <c r="B93" s="190" t="s">
        <v>6</v>
      </c>
      <c r="C93" s="190">
        <f>C90*12</f>
        <v>120</v>
      </c>
      <c r="D93" s="191">
        <f>IF(C91&lt;=C90,E92,0)</f>
        <v>195540.00000000003</v>
      </c>
      <c r="E93" s="191">
        <f>IFERROR(D93/C93,0)</f>
        <v>1629.5000000000002</v>
      </c>
      <c r="F93" s="98"/>
    </row>
    <row r="94" spans="1:10" ht="13.5" thickTop="1" x14ac:dyDescent="0.2">
      <c r="A94" s="249" t="s">
        <v>86</v>
      </c>
      <c r="B94" s="11" t="s">
        <v>7</v>
      </c>
      <c r="C94" s="11">
        <f>C89</f>
        <v>1</v>
      </c>
      <c r="D94" s="70">
        <f>'1. Coleta Domiciliar'!D139</f>
        <v>130000</v>
      </c>
      <c r="E94" s="12">
        <f>C94*D94</f>
        <v>130000</v>
      </c>
      <c r="F94" s="98"/>
      <c r="G94" s="7"/>
    </row>
    <row r="95" spans="1:10" x14ac:dyDescent="0.2">
      <c r="A95" s="250" t="s">
        <v>83</v>
      </c>
      <c r="B95" s="13" t="s">
        <v>82</v>
      </c>
      <c r="C95" s="69">
        <f>'1. Coleta Domiciliar'!C140</f>
        <v>10</v>
      </c>
      <c r="D95" s="14"/>
      <c r="E95" s="14"/>
      <c r="F95" s="98"/>
    </row>
    <row r="96" spans="1:10" x14ac:dyDescent="0.2">
      <c r="A96" s="250" t="s">
        <v>169</v>
      </c>
      <c r="B96" s="13" t="s">
        <v>82</v>
      </c>
      <c r="C96" s="69">
        <f>'1. Coleta Domiciliar'!C141</f>
        <v>0</v>
      </c>
      <c r="D96" s="14"/>
      <c r="E96" s="14"/>
      <c r="F96" s="261"/>
      <c r="I96" s="68"/>
      <c r="J96" s="68"/>
    </row>
    <row r="97" spans="1:10" x14ac:dyDescent="0.2">
      <c r="A97" s="250" t="s">
        <v>84</v>
      </c>
      <c r="B97" s="13" t="s">
        <v>1</v>
      </c>
      <c r="C97" s="199">
        <v>65.180000000000007</v>
      </c>
      <c r="D97" s="14">
        <f>E94</f>
        <v>130000</v>
      </c>
      <c r="E97" s="14">
        <f>C97*D97/100</f>
        <v>84734</v>
      </c>
      <c r="F97" s="98"/>
    </row>
    <row r="98" spans="1:10" x14ac:dyDescent="0.2">
      <c r="A98" s="256" t="s">
        <v>88</v>
      </c>
      <c r="B98" s="81" t="s">
        <v>6</v>
      </c>
      <c r="C98" s="81">
        <f>C95*12</f>
        <v>120</v>
      </c>
      <c r="D98" s="82">
        <f>IF(C96&lt;=C95,E97,0)</f>
        <v>84734</v>
      </c>
      <c r="E98" s="82">
        <f>IFERROR(D98/C98,0)</f>
        <v>706.11666666666667</v>
      </c>
      <c r="F98" s="98"/>
    </row>
    <row r="99" spans="1:10" x14ac:dyDescent="0.2">
      <c r="A99" s="251" t="s">
        <v>196</v>
      </c>
      <c r="B99" s="252"/>
      <c r="C99" s="252"/>
      <c r="D99" s="24"/>
      <c r="E99" s="89">
        <f>E93+E98</f>
        <v>2335.6166666666668</v>
      </c>
      <c r="F99" s="98"/>
    </row>
    <row r="100" spans="1:10" ht="13.5" thickBot="1" x14ac:dyDescent="0.25">
      <c r="A100" s="256" t="s">
        <v>197</v>
      </c>
      <c r="B100" s="81" t="s">
        <v>7</v>
      </c>
      <c r="C100" s="189">
        <v>1</v>
      </c>
      <c r="D100" s="82">
        <f>E99</f>
        <v>2335.6166666666668</v>
      </c>
      <c r="E100" s="89">
        <f>C100*D100</f>
        <v>2335.6166666666668</v>
      </c>
      <c r="F100" s="98"/>
    </row>
    <row r="101" spans="1:10" ht="13.5" thickBot="1" x14ac:dyDescent="0.25">
      <c r="A101" s="281"/>
      <c r="B101" s="279"/>
      <c r="C101" s="279"/>
      <c r="D101" s="280" t="s">
        <v>159</v>
      </c>
      <c r="E101" s="312">
        <f>B39</f>
        <v>0.13636363636363635</v>
      </c>
      <c r="F101" s="15">
        <f>E100*E101</f>
        <v>318.49318181818182</v>
      </c>
    </row>
    <row r="102" spans="1:10" ht="11.25" customHeight="1" x14ac:dyDescent="0.2">
      <c r="A102" s="234"/>
      <c r="B102" s="41"/>
      <c r="C102" s="41"/>
      <c r="D102" s="45"/>
      <c r="E102" s="45"/>
      <c r="F102" s="98"/>
    </row>
    <row r="103" spans="1:10" x14ac:dyDescent="0.2">
      <c r="A103" s="285" t="s">
        <v>93</v>
      </c>
      <c r="B103" s="41"/>
      <c r="C103" s="41"/>
      <c r="D103" s="45"/>
      <c r="E103" s="45"/>
      <c r="F103" s="98"/>
    </row>
    <row r="104" spans="1:10" ht="7.5" customHeight="1" thickBot="1" x14ac:dyDescent="0.25">
      <c r="A104" s="260"/>
      <c r="B104" s="41"/>
      <c r="C104" s="41"/>
      <c r="D104" s="45"/>
      <c r="E104" s="45"/>
      <c r="F104" s="98"/>
    </row>
    <row r="105" spans="1:10" ht="13.5" thickBot="1" x14ac:dyDescent="0.25">
      <c r="A105" s="46" t="s">
        <v>54</v>
      </c>
      <c r="B105" s="47" t="s">
        <v>55</v>
      </c>
      <c r="C105" s="47" t="s">
        <v>33</v>
      </c>
      <c r="D105" s="48" t="s">
        <v>185</v>
      </c>
      <c r="E105" s="48" t="s">
        <v>56</v>
      </c>
      <c r="F105" s="49" t="s">
        <v>57</v>
      </c>
      <c r="I105" s="68"/>
      <c r="J105" s="68"/>
    </row>
    <row r="106" spans="1:10" x14ac:dyDescent="0.2">
      <c r="A106" s="249" t="s">
        <v>91</v>
      </c>
      <c r="B106" s="11" t="s">
        <v>7</v>
      </c>
      <c r="C106" s="188">
        <v>1</v>
      </c>
      <c r="D106" s="12">
        <f>D89</f>
        <v>300000</v>
      </c>
      <c r="E106" s="12">
        <f>C106*D106</f>
        <v>300000</v>
      </c>
      <c r="F106" s="261"/>
      <c r="I106" s="68"/>
      <c r="J106" s="68"/>
    </row>
    <row r="107" spans="1:10" x14ac:dyDescent="0.2">
      <c r="A107" s="250" t="s">
        <v>172</v>
      </c>
      <c r="B107" s="13" t="s">
        <v>1</v>
      </c>
      <c r="C107" s="69">
        <f>'1. Coleta Domiciliar'!C152</f>
        <v>10</v>
      </c>
      <c r="D107" s="14"/>
      <c r="E107" s="14"/>
      <c r="F107" s="261"/>
      <c r="I107" s="68"/>
      <c r="J107" s="68"/>
    </row>
    <row r="108" spans="1:10" x14ac:dyDescent="0.2">
      <c r="A108" s="250" t="s">
        <v>170</v>
      </c>
      <c r="B108" s="13" t="s">
        <v>29</v>
      </c>
      <c r="C108" s="111">
        <f>IFERROR(IF(C91&lt;=C90,E89-(C92/(100*C90)*C91)*E89,E89-E92),0)</f>
        <v>300000</v>
      </c>
      <c r="D108" s="14"/>
      <c r="E108" s="14"/>
      <c r="F108" s="261"/>
      <c r="I108" s="68"/>
      <c r="J108" s="68"/>
    </row>
    <row r="109" spans="1:10" x14ac:dyDescent="0.2">
      <c r="A109" s="250" t="s">
        <v>96</v>
      </c>
      <c r="B109" s="13" t="s">
        <v>29</v>
      </c>
      <c r="C109" s="66">
        <f>IFERROR(IF(C91&gt;=C90,C108,((((C108)-(E89-E92))*(((C90-C91)+1)/(2*(C90-C91))))+(E89-E92))),0)</f>
        <v>212007</v>
      </c>
      <c r="D109" s="14"/>
      <c r="E109" s="14"/>
      <c r="F109" s="261"/>
      <c r="I109" s="68"/>
      <c r="J109" s="68"/>
    </row>
    <row r="110" spans="1:10" ht="13.5" thickBot="1" x14ac:dyDescent="0.25">
      <c r="A110" s="262" t="s">
        <v>97</v>
      </c>
      <c r="B110" s="190" t="s">
        <v>29</v>
      </c>
      <c r="C110" s="190"/>
      <c r="D110" s="192">
        <f>C107*C109/12/100</f>
        <v>1766.7249999999999</v>
      </c>
      <c r="E110" s="191">
        <f>D110</f>
        <v>1766.7249999999999</v>
      </c>
      <c r="F110" s="261"/>
      <c r="I110" s="68"/>
      <c r="J110" s="68"/>
    </row>
    <row r="111" spans="1:10" ht="13.5" thickTop="1" x14ac:dyDescent="0.2">
      <c r="A111" s="249" t="s">
        <v>92</v>
      </c>
      <c r="B111" s="11" t="s">
        <v>7</v>
      </c>
      <c r="C111" s="11">
        <f>C94</f>
        <v>1</v>
      </c>
      <c r="D111" s="12">
        <f>D94</f>
        <v>130000</v>
      </c>
      <c r="E111" s="12">
        <f>C111*D111</f>
        <v>130000</v>
      </c>
      <c r="F111" s="261"/>
      <c r="I111" s="68"/>
      <c r="J111" s="68"/>
    </row>
    <row r="112" spans="1:10" x14ac:dyDescent="0.2">
      <c r="A112" s="250" t="s">
        <v>172</v>
      </c>
      <c r="B112" s="13" t="s">
        <v>1</v>
      </c>
      <c r="C112" s="189">
        <f>C107</f>
        <v>10</v>
      </c>
      <c r="D112" s="14"/>
      <c r="E112" s="14"/>
      <c r="F112" s="261"/>
      <c r="I112" s="68"/>
      <c r="J112" s="68"/>
    </row>
    <row r="113" spans="1:10" x14ac:dyDescent="0.2">
      <c r="A113" s="250" t="s">
        <v>171</v>
      </c>
      <c r="B113" s="13" t="s">
        <v>29</v>
      </c>
      <c r="C113" s="111">
        <f>IFERROR(IF(C96&lt;=C95,E94-(C97/(100*C95)*C96)*E94,E94-E97),0)</f>
        <v>130000</v>
      </c>
      <c r="D113" s="14"/>
      <c r="E113" s="14"/>
      <c r="F113" s="261"/>
      <c r="I113" s="68"/>
      <c r="J113" s="68"/>
    </row>
    <row r="114" spans="1:10" x14ac:dyDescent="0.2">
      <c r="A114" s="250" t="s">
        <v>98</v>
      </c>
      <c r="B114" s="13" t="s">
        <v>29</v>
      </c>
      <c r="C114" s="66">
        <f>IFERROR(IF(C96&gt;=C95,C113,((((C113)-(E94-E97))*(((C95-C96)+1)/(2*(C95-C96))))+(E94-E97))),0)</f>
        <v>91869.700000000012</v>
      </c>
      <c r="D114" s="14"/>
      <c r="E114" s="14"/>
      <c r="F114" s="261"/>
      <c r="I114" s="68"/>
      <c r="J114" s="68"/>
    </row>
    <row r="115" spans="1:10" x14ac:dyDescent="0.2">
      <c r="A115" s="256" t="s">
        <v>95</v>
      </c>
      <c r="B115" s="81" t="s">
        <v>29</v>
      </c>
      <c r="C115" s="81"/>
      <c r="D115" s="86">
        <v>401.93</v>
      </c>
      <c r="E115" s="82">
        <f>D115</f>
        <v>401.93</v>
      </c>
      <c r="F115" s="261"/>
      <c r="I115" s="68"/>
      <c r="J115" s="68"/>
    </row>
    <row r="116" spans="1:10" x14ac:dyDescent="0.2">
      <c r="A116" s="251" t="s">
        <v>196</v>
      </c>
      <c r="B116" s="252"/>
      <c r="C116" s="252"/>
      <c r="D116" s="24"/>
      <c r="E116" s="89">
        <f>E110+E115</f>
        <v>2168.6549999999997</v>
      </c>
      <c r="F116" s="261"/>
      <c r="I116" s="68"/>
      <c r="J116" s="68"/>
    </row>
    <row r="117" spans="1:10" ht="13.5" thickBot="1" x14ac:dyDescent="0.25">
      <c r="A117" s="256" t="s">
        <v>197</v>
      </c>
      <c r="B117" s="81" t="s">
        <v>7</v>
      </c>
      <c r="C117" s="189">
        <f>C100</f>
        <v>1</v>
      </c>
      <c r="D117" s="82">
        <f>E116</f>
        <v>2168.6549999999997</v>
      </c>
      <c r="E117" s="89">
        <f>C117*D117</f>
        <v>2168.6549999999997</v>
      </c>
      <c r="F117" s="261"/>
      <c r="I117" s="68"/>
      <c r="J117" s="68"/>
    </row>
    <row r="118" spans="1:10" ht="13.5" thickBot="1" x14ac:dyDescent="0.25">
      <c r="A118" s="281"/>
      <c r="B118" s="279"/>
      <c r="C118" s="279"/>
      <c r="D118" s="280" t="s">
        <v>159</v>
      </c>
      <c r="E118" s="312">
        <f>B39</f>
        <v>0.13636363636363635</v>
      </c>
      <c r="F118" s="15">
        <f>E117*E118</f>
        <v>295.72568181818178</v>
      </c>
      <c r="I118" s="68"/>
      <c r="J118" s="68"/>
    </row>
    <row r="119" spans="1:10" ht="11.25" customHeight="1" x14ac:dyDescent="0.2">
      <c r="A119" s="234"/>
      <c r="B119" s="41"/>
      <c r="C119" s="41"/>
      <c r="D119" s="45"/>
      <c r="E119" s="45"/>
      <c r="F119" s="98"/>
      <c r="I119" s="68"/>
      <c r="J119" s="68"/>
    </row>
    <row r="120" spans="1:10" x14ac:dyDescent="0.2">
      <c r="A120" s="234" t="s">
        <v>44</v>
      </c>
      <c r="B120" s="41"/>
      <c r="C120" s="41"/>
      <c r="D120" s="45"/>
      <c r="E120" s="45"/>
      <c r="F120" s="98"/>
      <c r="I120" s="68"/>
      <c r="J120" s="68"/>
    </row>
    <row r="121" spans="1:10" ht="13.5" thickBot="1" x14ac:dyDescent="0.25">
      <c r="A121" s="234"/>
      <c r="B121" s="41"/>
      <c r="C121" s="41"/>
      <c r="D121" s="45"/>
      <c r="E121" s="45"/>
      <c r="F121" s="98"/>
      <c r="I121" s="68"/>
      <c r="J121" s="68"/>
    </row>
    <row r="122" spans="1:10" ht="13.5" thickBot="1" x14ac:dyDescent="0.25">
      <c r="A122" s="46" t="s">
        <v>54</v>
      </c>
      <c r="B122" s="47" t="s">
        <v>55</v>
      </c>
      <c r="C122" s="47" t="s">
        <v>33</v>
      </c>
      <c r="D122" s="48" t="s">
        <v>185</v>
      </c>
      <c r="E122" s="48" t="s">
        <v>56</v>
      </c>
      <c r="F122" s="49" t="s">
        <v>57</v>
      </c>
      <c r="I122" s="68"/>
      <c r="J122" s="68"/>
    </row>
    <row r="123" spans="1:10" x14ac:dyDescent="0.2">
      <c r="A123" s="249" t="s">
        <v>8</v>
      </c>
      <c r="B123" s="11" t="s">
        <v>7</v>
      </c>
      <c r="C123" s="12">
        <f>C100</f>
        <v>1</v>
      </c>
      <c r="D123" s="70">
        <f>'1. Coleta Domiciliar'!D168</f>
        <v>3000</v>
      </c>
      <c r="E123" s="12">
        <f>C123*D123</f>
        <v>3000</v>
      </c>
      <c r="F123" s="98"/>
      <c r="I123" s="68"/>
      <c r="J123" s="68"/>
    </row>
    <row r="124" spans="1:10" x14ac:dyDescent="0.2">
      <c r="A124" s="250" t="s">
        <v>158</v>
      </c>
      <c r="B124" s="13" t="s">
        <v>7</v>
      </c>
      <c r="C124" s="12">
        <f>C100</f>
        <v>1</v>
      </c>
      <c r="D124" s="70">
        <f>'1. Coleta Domiciliar'!D169</f>
        <v>97.4</v>
      </c>
      <c r="E124" s="14">
        <f>C124*D124</f>
        <v>97.4</v>
      </c>
      <c r="F124" s="98"/>
      <c r="I124" s="68"/>
      <c r="J124" s="68"/>
    </row>
    <row r="125" spans="1:10" x14ac:dyDescent="0.2">
      <c r="A125" s="250" t="s">
        <v>9</v>
      </c>
      <c r="B125" s="13" t="s">
        <v>7</v>
      </c>
      <c r="C125" s="12">
        <f>C100</f>
        <v>1</v>
      </c>
      <c r="D125" s="70">
        <f>'1. Coleta Domiciliar'!D170</f>
        <v>2500</v>
      </c>
      <c r="E125" s="14">
        <f>C125*D125</f>
        <v>2500</v>
      </c>
      <c r="F125" s="263"/>
      <c r="I125" s="68"/>
      <c r="J125" s="68"/>
    </row>
    <row r="126" spans="1:10" ht="13.5" thickBot="1" x14ac:dyDescent="0.25">
      <c r="A126" s="256" t="s">
        <v>10</v>
      </c>
      <c r="B126" s="81" t="s">
        <v>6</v>
      </c>
      <c r="C126" s="81">
        <v>12</v>
      </c>
      <c r="D126" s="82">
        <f>SUM(E123:E125)</f>
        <v>5597.4</v>
      </c>
      <c r="E126" s="82">
        <f>D126/C126</f>
        <v>466.45</v>
      </c>
      <c r="F126" s="98"/>
      <c r="I126" s="68"/>
      <c r="J126" s="68"/>
    </row>
    <row r="127" spans="1:10" ht="13.5" thickBot="1" x14ac:dyDescent="0.25">
      <c r="A127" s="282"/>
      <c r="B127" s="283"/>
      <c r="C127" s="283"/>
      <c r="D127" s="284" t="s">
        <v>159</v>
      </c>
      <c r="E127" s="312">
        <f>B39</f>
        <v>0.13636363636363635</v>
      </c>
      <c r="F127" s="91">
        <f>E126*E127</f>
        <v>63.606818181818177</v>
      </c>
      <c r="G127" s="193" t="s">
        <v>103</v>
      </c>
      <c r="H127" s="68"/>
      <c r="I127" s="68"/>
      <c r="J127" s="68"/>
    </row>
    <row r="128" spans="1:10" ht="8.25" customHeight="1" x14ac:dyDescent="0.2">
      <c r="A128" s="234"/>
      <c r="B128" s="41"/>
      <c r="C128" s="41"/>
      <c r="D128" s="253"/>
      <c r="E128" s="45"/>
      <c r="F128" s="98"/>
      <c r="G128" s="193"/>
      <c r="H128" s="68"/>
      <c r="I128" s="68"/>
      <c r="J128" s="68"/>
    </row>
    <row r="129" spans="1:10" x14ac:dyDescent="0.2">
      <c r="A129" s="234" t="s">
        <v>45</v>
      </c>
      <c r="B129" s="264"/>
      <c r="C129" s="41"/>
      <c r="D129" s="45"/>
      <c r="E129" s="45"/>
      <c r="F129" s="98"/>
      <c r="I129" s="68"/>
      <c r="J129" s="68"/>
    </row>
    <row r="130" spans="1:10" x14ac:dyDescent="0.2">
      <c r="A130" s="234"/>
      <c r="B130" s="264"/>
      <c r="C130" s="41"/>
      <c r="D130" s="45"/>
      <c r="E130" s="45"/>
      <c r="F130" s="98"/>
      <c r="I130" s="68"/>
      <c r="J130" s="68"/>
    </row>
    <row r="131" spans="1:10" x14ac:dyDescent="0.2">
      <c r="A131" s="256" t="s">
        <v>100</v>
      </c>
      <c r="B131" s="194">
        <v>1975</v>
      </c>
      <c r="C131" s="41"/>
      <c r="D131" s="45"/>
      <c r="E131" s="45"/>
      <c r="F131" s="98"/>
      <c r="I131" s="68"/>
      <c r="J131" s="68"/>
    </row>
    <row r="132" spans="1:10" ht="13.5" thickBot="1" x14ac:dyDescent="0.25">
      <c r="A132" s="234"/>
      <c r="B132" s="264"/>
      <c r="C132" s="41"/>
      <c r="D132" s="45"/>
      <c r="E132" s="45"/>
      <c r="F132" s="98"/>
      <c r="I132" s="68"/>
      <c r="J132" s="68"/>
    </row>
    <row r="133" spans="1:10" ht="13.5" thickBot="1" x14ac:dyDescent="0.25">
      <c r="A133" s="46" t="s">
        <v>54</v>
      </c>
      <c r="B133" s="47" t="s">
        <v>55</v>
      </c>
      <c r="C133" s="47" t="s">
        <v>195</v>
      </c>
      <c r="D133" s="48" t="s">
        <v>185</v>
      </c>
      <c r="E133" s="48" t="s">
        <v>56</v>
      </c>
      <c r="F133" s="49" t="s">
        <v>57</v>
      </c>
      <c r="I133" s="68"/>
      <c r="J133" s="68"/>
    </row>
    <row r="134" spans="1:10" x14ac:dyDescent="0.2">
      <c r="A134" s="249" t="s">
        <v>11</v>
      </c>
      <c r="B134" s="11" t="s">
        <v>12</v>
      </c>
      <c r="C134" s="76">
        <f>'1. Coleta Domiciliar'!C179</f>
        <v>2.1</v>
      </c>
      <c r="D134" s="77">
        <f>'1. Coleta Domiciliar'!D179</f>
        <v>6</v>
      </c>
      <c r="E134" s="12"/>
      <c r="F134" s="98"/>
      <c r="I134" s="68"/>
      <c r="J134" s="68"/>
    </row>
    <row r="135" spans="1:10" x14ac:dyDescent="0.2">
      <c r="A135" s="250" t="s">
        <v>13</v>
      </c>
      <c r="B135" s="13" t="s">
        <v>14</v>
      </c>
      <c r="C135" s="73">
        <f>B131</f>
        <v>1975</v>
      </c>
      <c r="D135" s="187">
        <f>IFERROR(+D134/C134,"-")</f>
        <v>2.8571428571428572</v>
      </c>
      <c r="E135" s="14">
        <f>IFERROR(C135*D135,"-")</f>
        <v>5642.8571428571431</v>
      </c>
      <c r="F135" s="98"/>
      <c r="I135" s="68"/>
      <c r="J135" s="68"/>
    </row>
    <row r="136" spans="1:10" x14ac:dyDescent="0.2">
      <c r="A136" s="250" t="s">
        <v>186</v>
      </c>
      <c r="B136" s="13" t="s">
        <v>15</v>
      </c>
      <c r="C136" s="79">
        <f>'1. Coleta Domiciliar'!C181</f>
        <v>1.33</v>
      </c>
      <c r="D136" s="77">
        <f>'1. Coleta Domiciliar'!D181</f>
        <v>18</v>
      </c>
      <c r="E136" s="14"/>
      <c r="F136" s="98"/>
      <c r="G136" s="85"/>
      <c r="H136" s="40"/>
      <c r="I136" s="68"/>
      <c r="J136" s="68"/>
    </row>
    <row r="137" spans="1:10" x14ac:dyDescent="0.2">
      <c r="A137" s="250" t="s">
        <v>16</v>
      </c>
      <c r="B137" s="13" t="s">
        <v>14</v>
      </c>
      <c r="C137" s="73">
        <f>C135</f>
        <v>1975</v>
      </c>
      <c r="D137" s="184">
        <f>+C136*D136/1000</f>
        <v>2.3940000000000003E-2</v>
      </c>
      <c r="E137" s="14">
        <f>C137*D137</f>
        <v>47.281500000000008</v>
      </c>
      <c r="F137" s="98"/>
      <c r="G137" s="85"/>
      <c r="H137" s="40"/>
      <c r="I137" s="68"/>
      <c r="J137" s="68"/>
    </row>
    <row r="138" spans="1:10" x14ac:dyDescent="0.2">
      <c r="A138" s="250" t="s">
        <v>187</v>
      </c>
      <c r="B138" s="13" t="s">
        <v>15</v>
      </c>
      <c r="C138" s="79">
        <f>'1. Coleta Domiciliar'!C183</f>
        <v>0.18</v>
      </c>
      <c r="D138" s="77">
        <f>'1. Coleta Domiciliar'!D183</f>
        <v>26</v>
      </c>
      <c r="E138" s="14"/>
      <c r="F138" s="98"/>
      <c r="G138" s="85"/>
      <c r="H138" s="40"/>
      <c r="I138" s="68"/>
      <c r="J138" s="68"/>
    </row>
    <row r="139" spans="1:10" x14ac:dyDescent="0.2">
      <c r="A139" s="250" t="s">
        <v>17</v>
      </c>
      <c r="B139" s="13" t="s">
        <v>14</v>
      </c>
      <c r="C139" s="73">
        <f>B131</f>
        <v>1975</v>
      </c>
      <c r="D139" s="184">
        <f>+C138*D138/1000</f>
        <v>4.6800000000000001E-3</v>
      </c>
      <c r="E139" s="14">
        <f>C139*D139</f>
        <v>9.2430000000000003</v>
      </c>
      <c r="F139" s="98"/>
      <c r="G139" s="85"/>
      <c r="H139" s="40"/>
      <c r="I139" s="68"/>
      <c r="J139" s="68"/>
    </row>
    <row r="140" spans="1:10" x14ac:dyDescent="0.2">
      <c r="A140" s="352" t="s">
        <v>253</v>
      </c>
      <c r="B140" s="13" t="s">
        <v>15</v>
      </c>
      <c r="C140" s="79">
        <v>25</v>
      </c>
      <c r="D140" s="77">
        <f>'1. Coleta Domiciliar'!D185</f>
        <v>3.6</v>
      </c>
      <c r="E140" s="14"/>
      <c r="F140" s="98"/>
      <c r="G140" s="85"/>
      <c r="H140" s="40"/>
      <c r="I140" s="68"/>
      <c r="J140" s="68"/>
    </row>
    <row r="141" spans="1:10" x14ac:dyDescent="0.2">
      <c r="A141" s="250" t="s">
        <v>17</v>
      </c>
      <c r="B141" s="13" t="s">
        <v>14</v>
      </c>
      <c r="C141" s="73">
        <f>C135</f>
        <v>1975</v>
      </c>
      <c r="D141" s="184">
        <f>+C140*D140/1000</f>
        <v>0.09</v>
      </c>
      <c r="E141" s="14">
        <f>C141*D141</f>
        <v>177.75</v>
      </c>
      <c r="F141" s="98"/>
      <c r="G141" s="85"/>
      <c r="H141" s="40"/>
      <c r="I141" s="68"/>
      <c r="J141" s="68"/>
    </row>
    <row r="142" spans="1:10" x14ac:dyDescent="0.2">
      <c r="A142" s="250" t="s">
        <v>188</v>
      </c>
      <c r="B142" s="13" t="s">
        <v>15</v>
      </c>
      <c r="C142" s="79">
        <f>'1. Coleta Domiciliar'!C187</f>
        <v>2</v>
      </c>
      <c r="D142" s="77">
        <f>'1. Coleta Domiciliar'!D187</f>
        <v>22</v>
      </c>
      <c r="E142" s="14"/>
      <c r="F142" s="98"/>
      <c r="G142" s="85"/>
      <c r="H142" s="40"/>
      <c r="I142" s="68"/>
      <c r="J142" s="68"/>
    </row>
    <row r="143" spans="1:10" x14ac:dyDescent="0.2">
      <c r="A143" s="250" t="s">
        <v>18</v>
      </c>
      <c r="B143" s="13" t="s">
        <v>14</v>
      </c>
      <c r="C143" s="73">
        <f>C135</f>
        <v>1975</v>
      </c>
      <c r="D143" s="184">
        <f>+C142*D142/1000</f>
        <v>4.3999999999999997E-2</v>
      </c>
      <c r="E143" s="14">
        <f>C143*D143</f>
        <v>86.899999999999991</v>
      </c>
      <c r="F143" s="98"/>
      <c r="G143" s="85"/>
      <c r="H143" s="40"/>
      <c r="I143" s="68"/>
      <c r="J143" s="68"/>
    </row>
    <row r="144" spans="1:10" x14ac:dyDescent="0.2">
      <c r="A144" s="255" t="s">
        <v>19</v>
      </c>
      <c r="B144" s="13" t="s">
        <v>20</v>
      </c>
      <c r="C144" s="79">
        <f>'1. Coleta Domiciliar'!C189</f>
        <v>1</v>
      </c>
      <c r="D144" s="77">
        <f>'1. Coleta Domiciliar'!D189</f>
        <v>22</v>
      </c>
      <c r="E144" s="14"/>
      <c r="F144" s="98"/>
      <c r="G144" s="85"/>
      <c r="H144" s="40"/>
      <c r="I144" s="68"/>
      <c r="J144" s="68"/>
    </row>
    <row r="145" spans="1:10" x14ac:dyDescent="0.2">
      <c r="A145" s="250" t="s">
        <v>21</v>
      </c>
      <c r="B145" s="13" t="s">
        <v>14</v>
      </c>
      <c r="C145" s="73">
        <f>C135</f>
        <v>1975</v>
      </c>
      <c r="D145" s="184">
        <f>+C144*D144/1000</f>
        <v>2.1999999999999999E-2</v>
      </c>
      <c r="E145" s="14">
        <f>C145*D145</f>
        <v>43.449999999999996</v>
      </c>
      <c r="F145" s="98"/>
      <c r="G145" s="85"/>
      <c r="H145" s="40"/>
      <c r="I145" s="68"/>
      <c r="J145" s="68"/>
    </row>
    <row r="146" spans="1:10" ht="13.5" thickBot="1" x14ac:dyDescent="0.25">
      <c r="A146" s="256" t="s">
        <v>194</v>
      </c>
      <c r="B146" s="81" t="s">
        <v>101</v>
      </c>
      <c r="C146" s="185"/>
      <c r="D146" s="186">
        <f>IFERROR(D135+D137+D139+D141+D143+D145,0)</f>
        <v>3.041762857142857</v>
      </c>
      <c r="E146" s="14"/>
      <c r="F146" s="98"/>
      <c r="G146" s="85"/>
      <c r="H146" s="40"/>
      <c r="I146" s="68"/>
      <c r="J146" s="68"/>
    </row>
    <row r="147" spans="1:10" ht="13.5" thickBot="1" x14ac:dyDescent="0.25">
      <c r="A147" s="234"/>
      <c r="B147" s="41"/>
      <c r="C147" s="41"/>
      <c r="D147" s="45"/>
      <c r="E147" s="45"/>
      <c r="F147" s="15">
        <f>SUM(E134:E145)</f>
        <v>6007.481642857143</v>
      </c>
      <c r="I147" s="68"/>
      <c r="J147" s="68"/>
    </row>
    <row r="148" spans="1:10" ht="11.25" customHeight="1" x14ac:dyDescent="0.2">
      <c r="A148" s="234"/>
      <c r="B148" s="41"/>
      <c r="C148" s="41"/>
      <c r="D148" s="45"/>
      <c r="E148" s="45"/>
      <c r="F148" s="98"/>
      <c r="I148" s="68"/>
      <c r="J148" s="68"/>
    </row>
    <row r="149" spans="1:10" x14ac:dyDescent="0.2">
      <c r="A149" s="234" t="s">
        <v>46</v>
      </c>
      <c r="B149" s="41"/>
      <c r="C149" s="41"/>
      <c r="D149" s="45"/>
      <c r="E149" s="45"/>
      <c r="F149" s="98"/>
      <c r="I149" s="68"/>
      <c r="J149" s="68"/>
    </row>
    <row r="150" spans="1:10" ht="8.25" customHeight="1" thickBot="1" x14ac:dyDescent="0.25">
      <c r="A150" s="234"/>
      <c r="B150" s="41"/>
      <c r="C150" s="41"/>
      <c r="D150" s="45"/>
      <c r="E150" s="45"/>
      <c r="F150" s="98"/>
      <c r="I150" s="68"/>
      <c r="J150" s="68"/>
    </row>
    <row r="151" spans="1:10" ht="13.5" thickBot="1" x14ac:dyDescent="0.25">
      <c r="A151" s="46" t="s">
        <v>54</v>
      </c>
      <c r="B151" s="47" t="s">
        <v>55</v>
      </c>
      <c r="C151" s="47" t="s">
        <v>33</v>
      </c>
      <c r="D151" s="48" t="s">
        <v>185</v>
      </c>
      <c r="E151" s="48" t="s">
        <v>56</v>
      </c>
      <c r="F151" s="49" t="s">
        <v>57</v>
      </c>
      <c r="I151" s="68"/>
      <c r="J151" s="68"/>
    </row>
    <row r="152" spans="1:10" ht="13.5" thickBot="1" x14ac:dyDescent="0.25">
      <c r="A152" s="249" t="s">
        <v>99</v>
      </c>
      <c r="B152" s="11" t="s">
        <v>101</v>
      </c>
      <c r="C152" s="73">
        <f>B131</f>
        <v>1975</v>
      </c>
      <c r="D152" s="70">
        <f>'1. Coleta Domiciliar'!D197</f>
        <v>1</v>
      </c>
      <c r="E152" s="12">
        <f>C152*D152</f>
        <v>1975</v>
      </c>
      <c r="F152" s="98"/>
      <c r="I152" s="68"/>
      <c r="J152" s="68"/>
    </row>
    <row r="153" spans="1:10" ht="13.5" thickBot="1" x14ac:dyDescent="0.25">
      <c r="A153" s="234"/>
      <c r="B153" s="41"/>
      <c r="C153" s="41"/>
      <c r="D153" s="45"/>
      <c r="E153" s="45"/>
      <c r="F153" s="15">
        <f>E152</f>
        <v>1975</v>
      </c>
      <c r="I153" s="68"/>
      <c r="J153" s="68"/>
    </row>
    <row r="154" spans="1:10" ht="11.25" customHeight="1" x14ac:dyDescent="0.2">
      <c r="A154" s="234"/>
      <c r="B154" s="41"/>
      <c r="C154" s="41"/>
      <c r="D154" s="45"/>
      <c r="E154" s="45"/>
      <c r="F154" s="98"/>
      <c r="I154" s="68"/>
      <c r="J154" s="68"/>
    </row>
    <row r="155" spans="1:10" ht="14.25" customHeight="1" x14ac:dyDescent="0.2">
      <c r="A155" s="234" t="s">
        <v>52</v>
      </c>
      <c r="B155" s="41"/>
      <c r="C155" s="41"/>
      <c r="D155" s="45"/>
      <c r="E155" s="45"/>
      <c r="F155" s="98"/>
      <c r="I155" s="68"/>
      <c r="J155" s="68"/>
    </row>
    <row r="156" spans="1:10" ht="10.5" customHeight="1" thickBot="1" x14ac:dyDescent="0.25">
      <c r="A156" s="234"/>
      <c r="B156" s="41"/>
      <c r="C156" s="41"/>
      <c r="D156" s="45"/>
      <c r="E156" s="45"/>
      <c r="F156" s="98"/>
      <c r="I156" s="68"/>
      <c r="J156" s="68"/>
    </row>
    <row r="157" spans="1:10" ht="13.5" thickBot="1" x14ac:dyDescent="0.25">
      <c r="A157" s="46" t="s">
        <v>54</v>
      </c>
      <c r="B157" s="47" t="s">
        <v>55</v>
      </c>
      <c r="C157" s="47" t="s">
        <v>33</v>
      </c>
      <c r="D157" s="48" t="s">
        <v>185</v>
      </c>
      <c r="E157" s="48" t="s">
        <v>56</v>
      </c>
      <c r="F157" s="49" t="s">
        <v>57</v>
      </c>
      <c r="I157" s="68"/>
      <c r="J157" s="68"/>
    </row>
    <row r="158" spans="1:10" x14ac:dyDescent="0.2">
      <c r="A158" s="254" t="s">
        <v>209</v>
      </c>
      <c r="B158" s="11" t="s">
        <v>7</v>
      </c>
      <c r="C158" s="75">
        <f>'1. Coleta Domiciliar'!C203</f>
        <v>6</v>
      </c>
      <c r="D158" s="70">
        <f>'1. Coleta Domiciliar'!D203</f>
        <v>1650</v>
      </c>
      <c r="E158" s="12">
        <f>C158*D158</f>
        <v>9900</v>
      </c>
      <c r="F158" s="98"/>
      <c r="I158" s="68"/>
      <c r="J158" s="68"/>
    </row>
    <row r="159" spans="1:10" x14ac:dyDescent="0.2">
      <c r="A159" s="249" t="s">
        <v>102</v>
      </c>
      <c r="B159" s="11" t="s">
        <v>7</v>
      </c>
      <c r="C159" s="75">
        <f>'1. Coleta Domiciliar'!C204</f>
        <v>2</v>
      </c>
      <c r="D159" s="83"/>
      <c r="E159" s="12"/>
      <c r="F159" s="98"/>
      <c r="I159" s="68"/>
      <c r="J159" s="68"/>
    </row>
    <row r="160" spans="1:10" x14ac:dyDescent="0.2">
      <c r="A160" s="249" t="s">
        <v>59</v>
      </c>
      <c r="B160" s="11" t="s">
        <v>7</v>
      </c>
      <c r="C160" s="204">
        <f>C158*C159</f>
        <v>12</v>
      </c>
      <c r="D160" s="70">
        <f>'1. Coleta Domiciliar'!D205</f>
        <v>650</v>
      </c>
      <c r="E160" s="12">
        <f>C160*D160</f>
        <v>7800</v>
      </c>
      <c r="F160" s="98"/>
      <c r="I160" s="68"/>
      <c r="J160" s="68"/>
    </row>
    <row r="161" spans="1:10" x14ac:dyDescent="0.2">
      <c r="A161" s="255" t="s">
        <v>208</v>
      </c>
      <c r="B161" s="13" t="s">
        <v>22</v>
      </c>
      <c r="C161" s="78">
        <f>'1. Coleta Domiciliar'!C206</f>
        <v>80000</v>
      </c>
      <c r="D161" s="14">
        <f>E158+E160</f>
        <v>17700</v>
      </c>
      <c r="E161" s="14">
        <f>IFERROR(D161/C161,"-")</f>
        <v>0.22125</v>
      </c>
      <c r="F161" s="98"/>
      <c r="I161" s="68"/>
      <c r="J161" s="68"/>
    </row>
    <row r="162" spans="1:10" ht="13.5" thickBot="1" x14ac:dyDescent="0.25">
      <c r="A162" s="250" t="s">
        <v>48</v>
      </c>
      <c r="B162" s="13" t="s">
        <v>14</v>
      </c>
      <c r="C162" s="205">
        <f>B131</f>
        <v>1975</v>
      </c>
      <c r="D162" s="14">
        <f>E161</f>
        <v>0.22125</v>
      </c>
      <c r="E162" s="14">
        <f>IFERROR(C162*D162,0)</f>
        <v>436.96875</v>
      </c>
      <c r="F162" s="98"/>
      <c r="I162" s="68"/>
      <c r="J162" s="68"/>
    </row>
    <row r="163" spans="1:10" ht="13.5" thickBot="1" x14ac:dyDescent="0.25">
      <c r="A163" s="234"/>
      <c r="B163" s="41"/>
      <c r="C163" s="41"/>
      <c r="D163" s="45"/>
      <c r="E163" s="45"/>
      <c r="F163" s="15">
        <f>E162</f>
        <v>436.96875</v>
      </c>
      <c r="I163" s="68"/>
      <c r="J163" s="68"/>
    </row>
    <row r="164" spans="1:10" ht="11.25" customHeight="1" x14ac:dyDescent="0.2">
      <c r="A164" s="234"/>
      <c r="B164" s="41"/>
      <c r="C164" s="41"/>
      <c r="D164" s="45"/>
      <c r="E164" s="45"/>
      <c r="F164" s="98"/>
      <c r="I164" s="68"/>
      <c r="J164" s="68"/>
    </row>
    <row r="165" spans="1:10" ht="11.25" customHeight="1" thickBot="1" x14ac:dyDescent="0.25">
      <c r="A165" s="234"/>
      <c r="B165" s="41"/>
      <c r="C165" s="41"/>
      <c r="D165" s="45"/>
      <c r="E165" s="45"/>
      <c r="F165" s="98"/>
      <c r="G165" s="7"/>
    </row>
    <row r="166" spans="1:10" ht="13.5" thickBot="1" x14ac:dyDescent="0.25">
      <c r="A166" s="17" t="s">
        <v>177</v>
      </c>
      <c r="B166" s="18"/>
      <c r="C166" s="18"/>
      <c r="D166" s="19"/>
      <c r="E166" s="20"/>
      <c r="F166" s="15">
        <f>+SUM(F89:F165)</f>
        <v>9097.2760746753247</v>
      </c>
      <c r="G166" s="7"/>
      <c r="H166" s="68"/>
    </row>
    <row r="167" spans="1:10" ht="11.25" customHeight="1" x14ac:dyDescent="0.2">
      <c r="A167" s="234"/>
      <c r="B167" s="41"/>
      <c r="C167" s="41"/>
      <c r="D167" s="45"/>
      <c r="E167" s="45"/>
      <c r="F167" s="98"/>
      <c r="G167" s="7"/>
    </row>
    <row r="168" spans="1:10" ht="11.25" customHeight="1" x14ac:dyDescent="0.2">
      <c r="A168" s="234"/>
      <c r="B168" s="41"/>
      <c r="C168" s="41"/>
      <c r="D168" s="45"/>
      <c r="E168" s="45"/>
      <c r="F168" s="98"/>
      <c r="G168" s="7"/>
    </row>
    <row r="169" spans="1:10" ht="11.25" customHeight="1" x14ac:dyDescent="0.2">
      <c r="A169" s="234"/>
      <c r="B169" s="41"/>
      <c r="C169" s="41"/>
      <c r="D169" s="45"/>
      <c r="E169" s="45"/>
      <c r="F169" s="98"/>
      <c r="G169" s="7"/>
    </row>
    <row r="170" spans="1:10" ht="11.25" customHeight="1" x14ac:dyDescent="0.2">
      <c r="A170" s="248" t="s">
        <v>211</v>
      </c>
      <c r="B170" s="104"/>
      <c r="C170" s="104"/>
      <c r="D170" s="210"/>
      <c r="E170" s="210"/>
      <c r="F170" s="267"/>
      <c r="G170" s="7"/>
    </row>
    <row r="171" spans="1:10" ht="11.25" customHeight="1" thickBot="1" x14ac:dyDescent="0.25">
      <c r="A171" s="242"/>
      <c r="B171" s="104"/>
      <c r="C171" s="104"/>
      <c r="D171" s="210"/>
      <c r="E171" s="210"/>
      <c r="F171" s="267"/>
      <c r="G171" s="7"/>
    </row>
    <row r="172" spans="1:10" ht="11.25" customHeight="1" thickBot="1" x14ac:dyDescent="0.25">
      <c r="A172" s="46" t="s">
        <v>54</v>
      </c>
      <c r="B172" s="47" t="s">
        <v>55</v>
      </c>
      <c r="C172" s="47" t="s">
        <v>33</v>
      </c>
      <c r="D172" s="48" t="s">
        <v>185</v>
      </c>
      <c r="E172" s="48" t="s">
        <v>56</v>
      </c>
      <c r="F172" s="49" t="s">
        <v>57</v>
      </c>
      <c r="G172" s="7"/>
    </row>
    <row r="173" spans="1:10" x14ac:dyDescent="0.2">
      <c r="A173" s="254" t="s">
        <v>212</v>
      </c>
      <c r="B173" s="206" t="s">
        <v>50</v>
      </c>
      <c r="C173" s="206">
        <v>1</v>
      </c>
      <c r="D173" s="211">
        <f>'1. Coleta Domiciliar'!D232</f>
        <v>600</v>
      </c>
      <c r="E173" s="207">
        <f>D173/C173</f>
        <v>600</v>
      </c>
      <c r="F173" s="268"/>
      <c r="G173" s="7"/>
    </row>
    <row r="174" spans="1:10" x14ac:dyDescent="0.2">
      <c r="A174" s="255" t="s">
        <v>213</v>
      </c>
      <c r="B174" s="201" t="s">
        <v>6</v>
      </c>
      <c r="C174" s="201">
        <v>60</v>
      </c>
      <c r="D174" s="208">
        <f>E173</f>
        <v>600</v>
      </c>
      <c r="E174" s="208">
        <f t="shared" ref="E174:E176" si="2">D174/C174</f>
        <v>10</v>
      </c>
      <c r="F174" s="268"/>
      <c r="G174" s="7"/>
    </row>
    <row r="175" spans="1:10" ht="12.75" customHeight="1" x14ac:dyDescent="0.2">
      <c r="A175" s="255" t="s">
        <v>214</v>
      </c>
      <c r="B175" s="201" t="s">
        <v>7</v>
      </c>
      <c r="C175" s="201">
        <v>1</v>
      </c>
      <c r="D175" s="212">
        <f>'1. Coleta Domiciliar'!D234</f>
        <v>110</v>
      </c>
      <c r="E175" s="208">
        <f t="shared" si="2"/>
        <v>110</v>
      </c>
      <c r="F175" s="268"/>
      <c r="G175" s="7"/>
    </row>
    <row r="176" spans="1:10" ht="14.25" customHeight="1" thickBot="1" x14ac:dyDescent="0.25">
      <c r="A176" s="255" t="s">
        <v>215</v>
      </c>
      <c r="B176" s="201" t="s">
        <v>6</v>
      </c>
      <c r="C176" s="201">
        <v>1</v>
      </c>
      <c r="D176" s="208">
        <f>E175</f>
        <v>110</v>
      </c>
      <c r="E176" s="208">
        <f t="shared" si="2"/>
        <v>110</v>
      </c>
      <c r="F176" s="268"/>
      <c r="G176" s="7"/>
    </row>
    <row r="177" spans="1:8" ht="11.25" customHeight="1" thickBot="1" x14ac:dyDescent="0.25">
      <c r="A177" s="281"/>
      <c r="B177" s="279"/>
      <c r="C177" s="279"/>
      <c r="D177" s="280" t="s">
        <v>159</v>
      </c>
      <c r="E177" s="356">
        <f>B39</f>
        <v>0.13636363636363635</v>
      </c>
      <c r="F177" s="15">
        <f>(E176+E174)*E177</f>
        <v>16.363636363636363</v>
      </c>
      <c r="G177" s="7"/>
    </row>
    <row r="178" spans="1:8" ht="11.25" customHeight="1" x14ac:dyDescent="0.2">
      <c r="A178" s="242"/>
      <c r="B178" s="209"/>
      <c r="C178" s="209"/>
      <c r="D178" s="269"/>
      <c r="E178" s="210"/>
      <c r="F178" s="267"/>
      <c r="G178" s="7"/>
    </row>
    <row r="179" spans="1:8" ht="12" customHeight="1" thickBot="1" x14ac:dyDescent="0.25">
      <c r="A179" s="234"/>
      <c r="B179" s="41"/>
      <c r="C179" s="41"/>
      <c r="D179" s="45"/>
      <c r="E179" s="45"/>
      <c r="F179" s="98"/>
    </row>
    <row r="180" spans="1:8" ht="17.25" customHeight="1" thickBot="1" x14ac:dyDescent="0.25">
      <c r="A180" s="17" t="s">
        <v>179</v>
      </c>
      <c r="B180" s="21"/>
      <c r="C180" s="21"/>
      <c r="D180" s="22"/>
      <c r="E180" s="23"/>
      <c r="F180" s="16">
        <f>F64+F80+F166+F177</f>
        <v>9796.1543010389614</v>
      </c>
    </row>
    <row r="181" spans="1:8" ht="11.25" customHeight="1" x14ac:dyDescent="0.2">
      <c r="A181" s="234"/>
      <c r="B181" s="41"/>
      <c r="C181" s="41"/>
      <c r="D181" s="45"/>
      <c r="E181" s="45"/>
      <c r="F181" s="98"/>
      <c r="H181" s="68"/>
    </row>
    <row r="182" spans="1:8" x14ac:dyDescent="0.2">
      <c r="A182" s="248" t="s">
        <v>232</v>
      </c>
      <c r="B182" s="41"/>
      <c r="C182" s="41"/>
      <c r="D182" s="45"/>
      <c r="E182" s="45"/>
      <c r="F182" s="98"/>
    </row>
    <row r="183" spans="1:8" ht="11.25" customHeight="1" thickBot="1" x14ac:dyDescent="0.25">
      <c r="A183" s="234"/>
      <c r="B183" s="41"/>
      <c r="C183" s="41"/>
      <c r="D183" s="45"/>
      <c r="E183" s="45"/>
      <c r="F183" s="98"/>
    </row>
    <row r="184" spans="1:8" ht="13.5" thickBot="1" x14ac:dyDescent="0.25">
      <c r="A184" s="46" t="s">
        <v>54</v>
      </c>
      <c r="B184" s="47" t="s">
        <v>55</v>
      </c>
      <c r="C184" s="47" t="s">
        <v>33</v>
      </c>
      <c r="D184" s="48" t="s">
        <v>185</v>
      </c>
      <c r="E184" s="48" t="s">
        <v>56</v>
      </c>
      <c r="F184" s="49" t="s">
        <v>57</v>
      </c>
    </row>
    <row r="185" spans="1:8" ht="15.75" customHeight="1" thickBot="1" x14ac:dyDescent="0.25">
      <c r="A185" s="249" t="s">
        <v>30</v>
      </c>
      <c r="B185" s="11" t="s">
        <v>1</v>
      </c>
      <c r="C185" s="213">
        <f>'5. BDI'!C21</f>
        <v>0.28849999999999998</v>
      </c>
      <c r="D185" s="12">
        <f>F180</f>
        <v>9796.1543010389614</v>
      </c>
      <c r="E185" s="12">
        <f>C185*D185</f>
        <v>2826.1905158497402</v>
      </c>
      <c r="F185" s="98"/>
    </row>
    <row r="186" spans="1:8" ht="18" customHeight="1" thickBot="1" x14ac:dyDescent="0.25">
      <c r="A186" s="234"/>
      <c r="B186" s="41"/>
      <c r="C186" s="41"/>
      <c r="D186" s="45"/>
      <c r="E186" s="45"/>
      <c r="F186" s="15">
        <f>+E185</f>
        <v>2826.1905158497402</v>
      </c>
      <c r="H186" s="68"/>
    </row>
    <row r="187" spans="1:8" ht="15" customHeight="1" thickBot="1" x14ac:dyDescent="0.25">
      <c r="A187" s="234"/>
      <c r="B187" s="41"/>
      <c r="C187" s="41"/>
      <c r="D187" s="45"/>
      <c r="E187" s="45"/>
      <c r="F187" s="98"/>
    </row>
    <row r="188" spans="1:8" ht="19.5" customHeight="1" thickBot="1" x14ac:dyDescent="0.25">
      <c r="A188" s="17" t="s">
        <v>264</v>
      </c>
      <c r="B188" s="21"/>
      <c r="C188" s="21"/>
      <c r="D188" s="22"/>
      <c r="E188" s="23"/>
      <c r="F188" s="16">
        <f>F180+F186</f>
        <v>12622.344816888701</v>
      </c>
    </row>
    <row r="189" spans="1:8" ht="12.6" customHeight="1" x14ac:dyDescent="0.2">
      <c r="A189" s="42"/>
      <c r="B189" s="42"/>
      <c r="C189" s="42"/>
      <c r="D189" s="43"/>
      <c r="E189" s="43"/>
    </row>
    <row r="190" spans="1:8" ht="18" customHeight="1" x14ac:dyDescent="0.2">
      <c r="A190" s="286"/>
      <c r="B190" s="42"/>
      <c r="C190" s="42"/>
      <c r="D190" s="43"/>
      <c r="E190" s="43"/>
    </row>
    <row r="191" spans="1:8" ht="45" customHeight="1" x14ac:dyDescent="0.2">
      <c r="D191" s="287"/>
      <c r="E191" s="287"/>
    </row>
    <row r="192" spans="1:8" ht="18" customHeight="1" x14ac:dyDescent="0.2">
      <c r="D192" s="397" t="s">
        <v>220</v>
      </c>
      <c r="E192" s="397"/>
    </row>
    <row r="193" spans="4:7" s="5" customFormat="1" ht="20.25" customHeight="1" x14ac:dyDescent="0.2">
      <c r="D193" s="386" t="s">
        <v>221</v>
      </c>
      <c r="E193" s="386"/>
    </row>
    <row r="194" spans="4:7" s="5" customFormat="1" ht="11.25" customHeight="1" x14ac:dyDescent="0.2"/>
    <row r="195" spans="4:7" s="5" customFormat="1" ht="11.25" customHeight="1" x14ac:dyDescent="0.2"/>
    <row r="196" spans="4:7" s="5" customFormat="1" ht="11.25" customHeight="1" x14ac:dyDescent="0.2"/>
    <row r="197" spans="4:7" s="5" customFormat="1" ht="11.25" customHeight="1" x14ac:dyDescent="0.2"/>
    <row r="198" spans="4:7" s="5" customFormat="1" ht="11.25" customHeight="1" x14ac:dyDescent="0.2"/>
    <row r="199" spans="4:7" s="39" customFormat="1" ht="11.25" customHeight="1" x14ac:dyDescent="0.2">
      <c r="G199" s="67"/>
    </row>
    <row r="200" spans="4:7" s="39" customFormat="1" ht="11.25" customHeight="1" x14ac:dyDescent="0.2">
      <c r="G200" s="67"/>
    </row>
    <row r="217" spans="4:7" ht="9" customHeight="1" x14ac:dyDescent="0.2">
      <c r="D217" s="7"/>
      <c r="E217" s="7"/>
      <c r="F217" s="7"/>
      <c r="G217" s="7"/>
    </row>
  </sheetData>
  <mergeCells count="11">
    <mergeCell ref="A31:E31"/>
    <mergeCell ref="A32:D32"/>
    <mergeCell ref="A36:D36"/>
    <mergeCell ref="D192:E192"/>
    <mergeCell ref="D193:E193"/>
    <mergeCell ref="A18:C18"/>
    <mergeCell ref="A1:E1"/>
    <mergeCell ref="A2:E2"/>
    <mergeCell ref="A9:F9"/>
    <mergeCell ref="A10:F10"/>
    <mergeCell ref="A12:F12"/>
  </mergeCells>
  <hyperlinks>
    <hyperlink ref="A103" location="AbaRemun" display="3.1.2. Remuneração do Capital"/>
    <hyperlink ref="A86" location="AbaDeprec" display="3.1.1. Depreciação"/>
  </hyperlinks>
  <pageMargins left="0.6692913385826772" right="0.43307086614173229" top="0.51181102362204722" bottom="0.55118110236220474" header="0.31496062992125984" footer="0.31496062992125984"/>
  <pageSetup paperSize="9" scale="75" fitToHeight="0" orientation="portrait" r:id="rId1"/>
  <headerFooter alignWithMargins="0">
    <oddFooter>&amp;R&amp;P de &amp;N</oddFooter>
  </headerFooter>
  <rowBreaks count="2" manualBreakCount="2">
    <brk id="68" max="5" man="1"/>
    <brk id="131" max="5" man="1"/>
  </rowBreaks>
  <ignoredErrors>
    <ignoredError sqref="D142:D145 D138" formula="1"/>
  </ignoredError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opLeftCell="A16" zoomScaleNormal="100" zoomScaleSheetLayoutView="90" workbookViewId="0">
      <selection activeCell="K23" sqref="K23"/>
    </sheetView>
  </sheetViews>
  <sheetFormatPr defaultRowHeight="12.75" x14ac:dyDescent="0.2"/>
  <cols>
    <col min="1" max="1" width="47.5703125" style="7" customWidth="1"/>
    <col min="2" max="2" width="14.85546875" style="7" customWidth="1"/>
    <col min="3" max="3" width="11.85546875" style="7" customWidth="1"/>
    <col min="4" max="4" width="12.85546875" style="8" customWidth="1"/>
    <col min="5" max="5" width="15.42578125" style="8" customWidth="1"/>
    <col min="6" max="6" width="17.42578125" style="8" customWidth="1"/>
    <col min="7" max="7" width="28.140625" style="8" customWidth="1"/>
    <col min="8" max="8" width="9.140625" style="7"/>
    <col min="9" max="9" width="14.5703125" style="7" customWidth="1"/>
    <col min="10" max="10" width="13.42578125" style="7" customWidth="1"/>
    <col min="11" max="16384" width="9.140625" style="7"/>
  </cols>
  <sheetData>
    <row r="1" spans="1:7" ht="21.75" customHeight="1" x14ac:dyDescent="0.2">
      <c r="A1" s="387" t="s">
        <v>218</v>
      </c>
      <c r="B1" s="388"/>
      <c r="C1" s="388"/>
      <c r="D1" s="388"/>
      <c r="E1" s="388"/>
      <c r="F1" s="233"/>
    </row>
    <row r="2" spans="1:7" ht="19.5" customHeight="1" x14ac:dyDescent="0.2">
      <c r="A2" s="389" t="s">
        <v>219</v>
      </c>
      <c r="B2" s="390"/>
      <c r="C2" s="390"/>
      <c r="D2" s="390"/>
      <c r="E2" s="390"/>
      <c r="F2" s="98"/>
    </row>
    <row r="3" spans="1:7" ht="20.25" customHeight="1" x14ac:dyDescent="0.2">
      <c r="A3" s="306" t="s">
        <v>225</v>
      </c>
      <c r="B3" s="307"/>
      <c r="C3" s="307"/>
      <c r="D3" s="307"/>
      <c r="E3" s="307"/>
      <c r="F3" s="98"/>
    </row>
    <row r="4" spans="1:7" ht="10.5" customHeight="1" thickBot="1" x14ac:dyDescent="0.25">
      <c r="A4" s="272"/>
      <c r="B4" s="273"/>
      <c r="C4" s="273"/>
      <c r="D4" s="274"/>
      <c r="E4" s="274"/>
      <c r="F4" s="275"/>
    </row>
    <row r="5" spans="1:7" ht="15.75" customHeight="1" x14ac:dyDescent="0.2">
      <c r="A5" s="235" t="s">
        <v>165</v>
      </c>
      <c r="B5" s="236"/>
      <c r="C5" s="236"/>
      <c r="D5" s="45"/>
      <c r="E5" s="45"/>
      <c r="F5" s="98"/>
    </row>
    <row r="6" spans="1:7" s="2" customFormat="1" ht="15.6" customHeight="1" x14ac:dyDescent="0.2">
      <c r="A6" s="237" t="s">
        <v>216</v>
      </c>
      <c r="B6" s="236"/>
      <c r="C6" s="232"/>
      <c r="D6" s="105"/>
      <c r="E6" s="105"/>
      <c r="F6" s="238"/>
      <c r="G6" s="4"/>
    </row>
    <row r="7" spans="1:7" s="2" customFormat="1" ht="15.6" customHeight="1" x14ac:dyDescent="0.2">
      <c r="A7" s="239" t="s">
        <v>217</v>
      </c>
      <c r="B7" s="232"/>
      <c r="C7" s="232"/>
      <c r="D7" s="105"/>
      <c r="E7" s="105"/>
      <c r="F7" s="238"/>
      <c r="G7" s="4"/>
    </row>
    <row r="8" spans="1:7" s="2" customFormat="1" ht="12.75" customHeight="1" thickBot="1" x14ac:dyDescent="0.25">
      <c r="A8" s="270"/>
      <c r="B8" s="271"/>
      <c r="C8" s="271"/>
      <c r="D8" s="240"/>
      <c r="E8" s="240"/>
      <c r="F8" s="241"/>
      <c r="G8" s="4"/>
    </row>
    <row r="9" spans="1:7" ht="13.5" thickBot="1" x14ac:dyDescent="0.25">
      <c r="A9" s="234"/>
      <c r="B9" s="41"/>
      <c r="C9" s="41"/>
      <c r="D9" s="45"/>
      <c r="E9" s="45"/>
      <c r="F9" s="98"/>
    </row>
    <row r="10" spans="1:7" ht="15.75" x14ac:dyDescent="0.2">
      <c r="A10" s="416" t="s">
        <v>231</v>
      </c>
      <c r="B10" s="417"/>
      <c r="C10" s="417"/>
      <c r="D10" s="417"/>
      <c r="E10" s="417"/>
      <c r="F10" s="418"/>
    </row>
    <row r="11" spans="1:7" ht="17.25" customHeight="1" x14ac:dyDescent="0.2">
      <c r="A11" s="419" t="s">
        <v>36</v>
      </c>
      <c r="B11" s="420"/>
      <c r="C11" s="420"/>
      <c r="D11" s="420"/>
      <c r="E11" s="420"/>
      <c r="F11" s="421"/>
    </row>
    <row r="12" spans="1:7" ht="13.5" thickBot="1" x14ac:dyDescent="0.25">
      <c r="A12" s="320"/>
      <c r="B12" s="370"/>
      <c r="C12" s="370"/>
      <c r="D12" s="114"/>
      <c r="E12" s="114"/>
      <c r="F12" s="115"/>
    </row>
    <row r="13" spans="1:7" ht="16.5" thickBot="1" x14ac:dyDescent="0.25">
      <c r="A13" s="411" t="s">
        <v>164</v>
      </c>
      <c r="B13" s="412"/>
      <c r="C13" s="412"/>
      <c r="D13" s="412"/>
      <c r="E13" s="412"/>
      <c r="F13" s="413"/>
    </row>
    <row r="14" spans="1:7" x14ac:dyDescent="0.2">
      <c r="A14" s="50" t="s">
        <v>163</v>
      </c>
      <c r="B14" s="28"/>
      <c r="C14" s="28"/>
      <c r="D14" s="174"/>
      <c r="E14" s="88" t="s">
        <v>31</v>
      </c>
      <c r="F14" s="29" t="s">
        <v>1</v>
      </c>
    </row>
    <row r="15" spans="1:7" ht="16.5" customHeight="1" x14ac:dyDescent="0.2">
      <c r="A15" s="308" t="str">
        <f>A19</f>
        <v xml:space="preserve">1. Destinação final </v>
      </c>
      <c r="B15" s="321"/>
      <c r="C15" s="94"/>
      <c r="D15" s="94"/>
      <c r="E15" s="322">
        <f>+F24</f>
        <v>8320</v>
      </c>
      <c r="F15" s="95">
        <f>IFERROR(E15/$E$17,0)</f>
        <v>0.84745762711864403</v>
      </c>
    </row>
    <row r="16" spans="1:7" ht="18.75" customHeight="1" thickBot="1" x14ac:dyDescent="0.25">
      <c r="A16" s="308" t="str">
        <f>A29</f>
        <v>2. Benefícios e Despesas Indiretas - BDI</v>
      </c>
      <c r="B16" s="321"/>
      <c r="C16" s="94"/>
      <c r="D16" s="94"/>
      <c r="E16" s="323">
        <f>+F34</f>
        <v>1497.6</v>
      </c>
      <c r="F16" s="95">
        <f>IFERROR(E16/$E$17,0)</f>
        <v>0.15254237288135591</v>
      </c>
    </row>
    <row r="17" spans="1:6" ht="16.5" customHeight="1" thickBot="1" x14ac:dyDescent="0.25">
      <c r="A17" s="30" t="s">
        <v>269</v>
      </c>
      <c r="B17" s="324"/>
      <c r="C17" s="19"/>
      <c r="D17" s="19"/>
      <c r="E17" s="325">
        <f>E15+E16</f>
        <v>9817.6</v>
      </c>
      <c r="F17" s="106">
        <f>F15+F16</f>
        <v>1</v>
      </c>
    </row>
    <row r="18" spans="1:6" x14ac:dyDescent="0.2">
      <c r="A18" s="320"/>
      <c r="B18" s="371"/>
      <c r="C18" s="371"/>
      <c r="D18" s="210"/>
      <c r="E18" s="210"/>
      <c r="F18" s="267"/>
    </row>
    <row r="19" spans="1:6" ht="13.5" thickBot="1" x14ac:dyDescent="0.25">
      <c r="A19" s="372" t="s">
        <v>226</v>
      </c>
      <c r="B19" s="373"/>
      <c r="C19" s="373"/>
      <c r="D19" s="26"/>
      <c r="E19" s="26"/>
      <c r="F19" s="265"/>
    </row>
    <row r="20" spans="1:6" ht="13.5" thickBot="1" x14ac:dyDescent="0.25">
      <c r="A20" s="326" t="s">
        <v>54</v>
      </c>
      <c r="B20" s="327" t="s">
        <v>55</v>
      </c>
      <c r="C20" s="327" t="s">
        <v>33</v>
      </c>
      <c r="D20" s="48" t="s">
        <v>185</v>
      </c>
      <c r="E20" s="48" t="s">
        <v>56</v>
      </c>
      <c r="F20" s="49" t="s">
        <v>57</v>
      </c>
    </row>
    <row r="21" spans="1:6" ht="13.5" thickBot="1" x14ac:dyDescent="0.25">
      <c r="A21" s="374" t="s">
        <v>227</v>
      </c>
      <c r="B21" s="328" t="s">
        <v>228</v>
      </c>
      <c r="C21" s="339">
        <v>52</v>
      </c>
      <c r="D21" s="329">
        <v>160</v>
      </c>
      <c r="E21" s="330">
        <f>C21*D21</f>
        <v>8320</v>
      </c>
      <c r="F21" s="268"/>
    </row>
    <row r="22" spans="1:6" ht="13.5" thickBot="1" x14ac:dyDescent="0.25">
      <c r="A22" s="372"/>
      <c r="B22" s="373"/>
      <c r="C22" s="373"/>
      <c r="D22" s="373"/>
      <c r="E22" s="26"/>
      <c r="F22" s="15">
        <f>SUM(E21:E21)</f>
        <v>8320</v>
      </c>
    </row>
    <row r="23" spans="1:6" ht="13.5" thickBot="1" x14ac:dyDescent="0.25">
      <c r="A23" s="320"/>
      <c r="B23" s="371"/>
      <c r="C23" s="371"/>
      <c r="D23" s="210"/>
      <c r="E23" s="210"/>
      <c r="F23" s="267"/>
    </row>
    <row r="24" spans="1:6" ht="13.5" thickBot="1" x14ac:dyDescent="0.25">
      <c r="A24" s="331" t="s">
        <v>210</v>
      </c>
      <c r="B24" s="332"/>
      <c r="C24" s="332"/>
      <c r="D24" s="19"/>
      <c r="E24" s="20"/>
      <c r="F24" s="15">
        <f>+F22</f>
        <v>8320</v>
      </c>
    </row>
    <row r="25" spans="1:6" x14ac:dyDescent="0.2">
      <c r="A25" s="320"/>
      <c r="B25" s="371"/>
      <c r="C25" s="371"/>
      <c r="D25" s="210"/>
      <c r="E25" s="210"/>
      <c r="F25" s="267"/>
    </row>
    <row r="26" spans="1:6" ht="13.5" thickBot="1" x14ac:dyDescent="0.25">
      <c r="A26" s="320"/>
      <c r="B26" s="371"/>
      <c r="C26" s="371"/>
      <c r="D26" s="210"/>
      <c r="E26" s="210"/>
      <c r="F26" s="267"/>
    </row>
    <row r="27" spans="1:6" ht="13.5" thickBot="1" x14ac:dyDescent="0.25">
      <c r="A27" s="331" t="s">
        <v>179</v>
      </c>
      <c r="B27" s="333"/>
      <c r="C27" s="333"/>
      <c r="D27" s="334"/>
      <c r="E27" s="335"/>
      <c r="F27" s="16">
        <f>F24</f>
        <v>8320</v>
      </c>
    </row>
    <row r="28" spans="1:6" x14ac:dyDescent="0.2">
      <c r="A28" s="320"/>
      <c r="B28" s="371"/>
      <c r="C28" s="371"/>
      <c r="D28" s="210"/>
      <c r="E28" s="210"/>
      <c r="F28" s="267"/>
    </row>
    <row r="29" spans="1:6" ht="13.5" thickBot="1" x14ac:dyDescent="0.25">
      <c r="A29" s="372" t="s">
        <v>229</v>
      </c>
      <c r="B29" s="371"/>
      <c r="C29" s="371"/>
      <c r="D29" s="210"/>
      <c r="E29" s="210"/>
      <c r="F29" s="267"/>
    </row>
    <row r="30" spans="1:6" ht="13.5" thickBot="1" x14ac:dyDescent="0.25">
      <c r="A30" s="326" t="s">
        <v>54</v>
      </c>
      <c r="B30" s="327" t="s">
        <v>55</v>
      </c>
      <c r="C30" s="327" t="s">
        <v>33</v>
      </c>
      <c r="D30" s="48" t="s">
        <v>185</v>
      </c>
      <c r="E30" s="48" t="s">
        <v>56</v>
      </c>
      <c r="F30" s="49" t="s">
        <v>57</v>
      </c>
    </row>
    <row r="31" spans="1:6" ht="15.75" customHeight="1" thickBot="1" x14ac:dyDescent="0.25">
      <c r="A31" s="375" t="s">
        <v>30</v>
      </c>
      <c r="B31" s="336" t="s">
        <v>1</v>
      </c>
      <c r="C31" s="337">
        <f>'6. BDI Aterro'!C21*100</f>
        <v>18</v>
      </c>
      <c r="D31" s="338">
        <f>+F27</f>
        <v>8320</v>
      </c>
      <c r="E31" s="338">
        <f>C31*D31/100</f>
        <v>1497.6</v>
      </c>
      <c r="F31" s="267"/>
    </row>
    <row r="32" spans="1:6" ht="13.5" thickBot="1" x14ac:dyDescent="0.25">
      <c r="A32" s="320"/>
      <c r="B32" s="371"/>
      <c r="C32" s="371"/>
      <c r="D32" s="210"/>
      <c r="E32" s="210"/>
      <c r="F32" s="15">
        <f>+E31</f>
        <v>1497.6</v>
      </c>
    </row>
    <row r="33" spans="1:9" ht="13.5" thickBot="1" x14ac:dyDescent="0.25">
      <c r="A33" s="320"/>
      <c r="B33" s="371"/>
      <c r="C33" s="371"/>
      <c r="D33" s="210"/>
      <c r="E33" s="210"/>
      <c r="F33" s="267"/>
    </row>
    <row r="34" spans="1:9" ht="13.5" thickBot="1" x14ac:dyDescent="0.25">
      <c r="A34" s="331" t="s">
        <v>230</v>
      </c>
      <c r="B34" s="333"/>
      <c r="C34" s="333"/>
      <c r="D34" s="334"/>
      <c r="E34" s="335"/>
      <c r="F34" s="16">
        <f>F32</f>
        <v>1497.6</v>
      </c>
    </row>
    <row r="35" spans="1:9" x14ac:dyDescent="0.2">
      <c r="A35" s="372"/>
      <c r="B35" s="373"/>
      <c r="C35" s="373"/>
      <c r="D35" s="26"/>
      <c r="E35" s="26"/>
      <c r="F35" s="265"/>
    </row>
    <row r="36" spans="1:9" ht="11.25" customHeight="1" thickBot="1" x14ac:dyDescent="0.25">
      <c r="A36" s="320"/>
      <c r="B36" s="371"/>
      <c r="C36" s="371"/>
      <c r="D36" s="210"/>
      <c r="E36" s="210"/>
      <c r="F36" s="267"/>
    </row>
    <row r="37" spans="1:9" ht="18" customHeight="1" thickBot="1" x14ac:dyDescent="0.25">
      <c r="A37" s="331" t="s">
        <v>265</v>
      </c>
      <c r="B37" s="333"/>
      <c r="C37" s="333"/>
      <c r="D37" s="334"/>
      <c r="E37" s="335"/>
      <c r="F37" s="16">
        <f>F27+F34</f>
        <v>9817.6</v>
      </c>
      <c r="I37" s="68">
        <f>F37+'2.Transporte'!F188+'1. Coleta Domiciliar'!F246</f>
        <v>41964.728484293599</v>
      </c>
    </row>
    <row r="38" spans="1:9" x14ac:dyDescent="0.2">
      <c r="I38" s="68"/>
    </row>
    <row r="39" spans="1:9" ht="60" customHeight="1" x14ac:dyDescent="0.2">
      <c r="D39" s="287"/>
      <c r="E39" s="287"/>
    </row>
    <row r="40" spans="1:9" ht="22.5" customHeight="1" x14ac:dyDescent="0.2">
      <c r="D40" s="397" t="s">
        <v>220</v>
      </c>
      <c r="E40" s="397"/>
    </row>
    <row r="41" spans="1:9" ht="14.25" x14ac:dyDescent="0.2">
      <c r="D41" s="386" t="s">
        <v>221</v>
      </c>
      <c r="E41" s="386"/>
    </row>
  </sheetData>
  <mergeCells count="7">
    <mergeCell ref="A1:E1"/>
    <mergeCell ref="A2:E2"/>
    <mergeCell ref="D40:E40"/>
    <mergeCell ref="D41:E41"/>
    <mergeCell ref="A10:F10"/>
    <mergeCell ref="A11:F11"/>
    <mergeCell ref="A13:F13"/>
  </mergeCells>
  <pageMargins left="0.7" right="0.43307086614173229" top="0.51" bottom="0.55118110236220474" header="0.31496062992125984" footer="0.31496062992125984"/>
  <pageSetup paperSize="9" scale="74" fitToHeight="0" orientation="portrait" r:id="rId1"/>
  <headerFooter alignWithMargins="0">
    <oddFooter>&amp;R&amp;P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topLeftCell="A7" zoomScaleNormal="100" workbookViewId="0">
      <selection activeCell="E36" sqref="E36"/>
    </sheetView>
  </sheetViews>
  <sheetFormatPr defaultRowHeight="12.75" x14ac:dyDescent="0.2"/>
  <cols>
    <col min="1" max="1" width="20.7109375" style="1" customWidth="1"/>
    <col min="2" max="2" width="18.5703125" style="1" customWidth="1"/>
    <col min="3" max="3" width="36" style="1" customWidth="1"/>
    <col min="4" max="4" width="14.5703125" style="1" customWidth="1"/>
    <col min="5" max="5" width="37.28515625" style="117" customWidth="1"/>
    <col min="6" max="11" width="9.140625" style="1"/>
    <col min="12" max="12" width="11" style="1" bestFit="1" customWidth="1"/>
    <col min="13" max="16384" width="9.140625" style="1"/>
  </cols>
  <sheetData>
    <row r="1" spans="1:13" ht="27.75" customHeight="1" x14ac:dyDescent="0.2">
      <c r="A1" s="427" t="s">
        <v>218</v>
      </c>
      <c r="B1" s="428"/>
      <c r="C1" s="429"/>
      <c r="D1" s="436"/>
      <c r="E1" s="123"/>
      <c r="G1" s="117"/>
    </row>
    <row r="2" spans="1:13" ht="36.75" customHeight="1" x14ac:dyDescent="0.2">
      <c r="A2" s="430" t="s">
        <v>219</v>
      </c>
      <c r="B2" s="431"/>
      <c r="C2" s="432"/>
      <c r="D2" s="437"/>
      <c r="E2" s="123"/>
      <c r="G2" s="117"/>
    </row>
    <row r="3" spans="1:13" ht="19.5" customHeight="1" thickBot="1" x14ac:dyDescent="0.25">
      <c r="A3" s="433" t="s">
        <v>225</v>
      </c>
      <c r="B3" s="434"/>
      <c r="C3" s="435"/>
      <c r="D3" s="438"/>
      <c r="E3" s="123"/>
      <c r="G3" s="117"/>
    </row>
    <row r="4" spans="1:13" ht="15.75" x14ac:dyDescent="0.2">
      <c r="A4" s="424" t="s">
        <v>270</v>
      </c>
      <c r="B4" s="425"/>
      <c r="C4" s="425"/>
      <c r="D4" s="426"/>
      <c r="E4" s="123"/>
      <c r="G4" s="117"/>
    </row>
    <row r="5" spans="1:13" ht="14.25" x14ac:dyDescent="0.2">
      <c r="A5" s="119" t="s">
        <v>104</v>
      </c>
      <c r="B5" s="441" t="s">
        <v>105</v>
      </c>
      <c r="C5" s="442"/>
      <c r="D5" s="300" t="s">
        <v>106</v>
      </c>
      <c r="E5" s="123"/>
      <c r="G5" s="117"/>
    </row>
    <row r="6" spans="1:13" ht="14.25" x14ac:dyDescent="0.2">
      <c r="A6" s="122" t="s">
        <v>107</v>
      </c>
      <c r="B6" s="422" t="s">
        <v>34</v>
      </c>
      <c r="C6" s="423"/>
      <c r="D6" s="124">
        <v>0.2</v>
      </c>
      <c r="E6" s="123"/>
      <c r="G6" s="117"/>
      <c r="H6" s="117"/>
      <c r="I6" s="117"/>
      <c r="J6" s="117"/>
      <c r="K6" s="117"/>
      <c r="L6" s="117"/>
      <c r="M6" s="117"/>
    </row>
    <row r="7" spans="1:13" ht="14.25" x14ac:dyDescent="0.2">
      <c r="A7" s="122" t="s">
        <v>108</v>
      </c>
      <c r="B7" s="422" t="s">
        <v>109</v>
      </c>
      <c r="C7" s="423"/>
      <c r="D7" s="124">
        <v>1.4999999999999999E-2</v>
      </c>
      <c r="E7" s="123"/>
      <c r="G7" s="117"/>
      <c r="H7" s="117"/>
      <c r="I7" s="117"/>
      <c r="J7" s="117"/>
      <c r="K7" s="117"/>
      <c r="L7" s="117"/>
      <c r="M7" s="117"/>
    </row>
    <row r="8" spans="1:13" ht="14.25" x14ac:dyDescent="0.2">
      <c r="A8" s="122" t="s">
        <v>110</v>
      </c>
      <c r="B8" s="422" t="s">
        <v>111</v>
      </c>
      <c r="C8" s="423"/>
      <c r="D8" s="124">
        <v>0.01</v>
      </c>
      <c r="E8" s="123"/>
      <c r="G8" s="117"/>
      <c r="H8" s="117"/>
      <c r="I8" s="117"/>
      <c r="J8" s="117"/>
      <c r="K8" s="117"/>
      <c r="L8" s="117"/>
      <c r="M8" s="117"/>
    </row>
    <row r="9" spans="1:13" ht="14.25" x14ac:dyDescent="0.2">
      <c r="A9" s="122" t="s">
        <v>112</v>
      </c>
      <c r="B9" s="422" t="s">
        <v>113</v>
      </c>
      <c r="C9" s="423"/>
      <c r="D9" s="124">
        <v>2E-3</v>
      </c>
      <c r="E9" s="123"/>
      <c r="G9" s="117"/>
      <c r="H9" s="117"/>
      <c r="I9" s="117"/>
      <c r="J9" s="117"/>
      <c r="K9" s="117"/>
      <c r="L9" s="117"/>
      <c r="M9" s="117"/>
    </row>
    <row r="10" spans="1:13" ht="14.25" x14ac:dyDescent="0.2">
      <c r="A10" s="122" t="s">
        <v>114</v>
      </c>
      <c r="B10" s="422" t="s">
        <v>115</v>
      </c>
      <c r="C10" s="423"/>
      <c r="D10" s="124">
        <v>6.0000000000000001E-3</v>
      </c>
      <c r="E10" s="123"/>
      <c r="G10" s="117"/>
      <c r="H10" s="117"/>
      <c r="I10" s="117"/>
      <c r="J10" s="117"/>
      <c r="K10" s="117"/>
      <c r="L10" s="117"/>
      <c r="M10" s="117"/>
    </row>
    <row r="11" spans="1:13" ht="14.25" x14ac:dyDescent="0.2">
      <c r="A11" s="122" t="s">
        <v>116</v>
      </c>
      <c r="B11" s="422" t="s">
        <v>117</v>
      </c>
      <c r="C11" s="423"/>
      <c r="D11" s="124">
        <v>2.5000000000000001E-2</v>
      </c>
      <c r="E11" s="123"/>
      <c r="G11" s="117"/>
      <c r="H11" s="117"/>
      <c r="I11" s="117"/>
      <c r="J11" s="117"/>
      <c r="K11" s="117"/>
      <c r="L11" s="117"/>
      <c r="M11" s="117"/>
    </row>
    <row r="12" spans="1:13" ht="14.25" x14ac:dyDescent="0.2">
      <c r="A12" s="122" t="s">
        <v>118</v>
      </c>
      <c r="B12" s="422" t="s">
        <v>119</v>
      </c>
      <c r="C12" s="423"/>
      <c r="D12" s="124">
        <v>0.03</v>
      </c>
      <c r="E12" s="123"/>
      <c r="G12" s="117"/>
      <c r="H12" s="117"/>
      <c r="I12" s="117"/>
      <c r="J12" s="117"/>
      <c r="K12" s="117"/>
      <c r="L12" s="117"/>
      <c r="M12" s="117"/>
    </row>
    <row r="13" spans="1:13" ht="14.25" x14ac:dyDescent="0.2">
      <c r="A13" s="122" t="s">
        <v>120</v>
      </c>
      <c r="B13" s="422" t="s">
        <v>35</v>
      </c>
      <c r="C13" s="423"/>
      <c r="D13" s="124">
        <v>0.08</v>
      </c>
      <c r="E13" s="125"/>
      <c r="G13" s="117"/>
      <c r="H13" s="117"/>
      <c r="I13" s="117"/>
      <c r="J13" s="117"/>
      <c r="K13" s="117"/>
      <c r="L13" s="117"/>
      <c r="M13" s="117"/>
    </row>
    <row r="14" spans="1:13" ht="15" x14ac:dyDescent="0.2">
      <c r="A14" s="122" t="s">
        <v>121</v>
      </c>
      <c r="B14" s="439" t="s">
        <v>122</v>
      </c>
      <c r="C14" s="440"/>
      <c r="D14" s="126">
        <f>SUM(D6:D13)</f>
        <v>0.36800000000000005</v>
      </c>
      <c r="E14" s="125"/>
      <c r="G14" s="117"/>
      <c r="H14" s="117"/>
      <c r="I14" s="117"/>
      <c r="J14" s="117"/>
      <c r="K14" s="117"/>
      <c r="L14" s="117"/>
      <c r="M14" s="117"/>
    </row>
    <row r="15" spans="1:13" ht="15" x14ac:dyDescent="0.2">
      <c r="A15" s="127"/>
      <c r="B15" s="443"/>
      <c r="C15" s="444"/>
      <c r="D15" s="128"/>
      <c r="E15" s="125"/>
      <c r="G15" s="117"/>
      <c r="H15" s="117"/>
      <c r="I15" s="117"/>
      <c r="J15" s="117"/>
      <c r="K15" s="117"/>
      <c r="L15" s="117"/>
      <c r="M15" s="117"/>
    </row>
    <row r="16" spans="1:13" ht="14.25" x14ac:dyDescent="0.2">
      <c r="A16" s="122" t="s">
        <v>123</v>
      </c>
      <c r="B16" s="422" t="s">
        <v>124</v>
      </c>
      <c r="C16" s="423"/>
      <c r="D16" s="124">
        <v>6.5699999999999995E-2</v>
      </c>
      <c r="E16" s="125"/>
      <c r="G16" s="117"/>
      <c r="H16" s="117"/>
      <c r="I16" s="117"/>
      <c r="J16" s="117"/>
      <c r="K16" s="117"/>
      <c r="L16" s="117"/>
      <c r="M16" s="117"/>
    </row>
    <row r="17" spans="1:13" ht="14.25" x14ac:dyDescent="0.2">
      <c r="A17" s="122" t="s">
        <v>125</v>
      </c>
      <c r="B17" s="422" t="s">
        <v>126</v>
      </c>
      <c r="C17" s="423"/>
      <c r="D17" s="124">
        <v>8.3299999999999999E-2</v>
      </c>
      <c r="E17" s="125"/>
      <c r="G17" s="117"/>
      <c r="H17" s="117"/>
      <c r="I17" s="117"/>
      <c r="J17" s="117"/>
      <c r="K17" s="117"/>
      <c r="L17" s="117"/>
      <c r="M17" s="117"/>
    </row>
    <row r="18" spans="1:13" ht="14.25" x14ac:dyDescent="0.2">
      <c r="A18" s="122" t="s">
        <v>175</v>
      </c>
      <c r="B18" s="422" t="s">
        <v>128</v>
      </c>
      <c r="C18" s="423"/>
      <c r="D18" s="124">
        <v>5.9999999999999995E-4</v>
      </c>
      <c r="E18" s="125"/>
      <c r="G18" s="117"/>
      <c r="H18" s="117"/>
      <c r="I18" s="117"/>
      <c r="J18" s="117"/>
      <c r="K18" s="117"/>
      <c r="L18" s="117"/>
      <c r="M18" s="117"/>
    </row>
    <row r="19" spans="1:13" ht="14.25" x14ac:dyDescent="0.2">
      <c r="A19" s="122" t="s">
        <v>127</v>
      </c>
      <c r="B19" s="422" t="s">
        <v>130</v>
      </c>
      <c r="C19" s="423"/>
      <c r="D19" s="124">
        <v>5.0000000000000001E-3</v>
      </c>
      <c r="E19" s="125"/>
      <c r="G19" s="117"/>
      <c r="H19" s="117"/>
      <c r="I19" s="117"/>
      <c r="J19" s="117"/>
      <c r="K19" s="117"/>
      <c r="L19" s="117"/>
      <c r="M19" s="117"/>
    </row>
    <row r="20" spans="1:13" ht="14.25" x14ac:dyDescent="0.2">
      <c r="A20" s="122" t="s">
        <v>129</v>
      </c>
      <c r="B20" s="422" t="s">
        <v>132</v>
      </c>
      <c r="C20" s="423"/>
      <c r="D20" s="124">
        <v>3.0999999999999999E-3</v>
      </c>
      <c r="E20" s="125"/>
      <c r="G20" s="117"/>
      <c r="H20" s="117"/>
      <c r="I20" s="117"/>
      <c r="J20" s="117"/>
      <c r="K20" s="117"/>
      <c r="L20" s="117"/>
      <c r="M20" s="117"/>
    </row>
    <row r="21" spans="1:13" ht="14.25" x14ac:dyDescent="0.2">
      <c r="A21" s="122" t="s">
        <v>131</v>
      </c>
      <c r="B21" s="422" t="s">
        <v>133</v>
      </c>
      <c r="C21" s="423"/>
      <c r="D21" s="124">
        <v>1.4E-2</v>
      </c>
      <c r="E21" s="125"/>
      <c r="G21" s="117"/>
      <c r="H21" s="117"/>
      <c r="I21" s="117"/>
      <c r="J21" s="117"/>
      <c r="K21" s="117"/>
      <c r="L21" s="117"/>
      <c r="M21" s="117"/>
    </row>
    <row r="22" spans="1:13" ht="15" x14ac:dyDescent="0.2">
      <c r="A22" s="122" t="s">
        <v>134</v>
      </c>
      <c r="B22" s="439" t="s">
        <v>135</v>
      </c>
      <c r="C22" s="440"/>
      <c r="D22" s="126">
        <f>SUM(D16:D21)</f>
        <v>0.17169999999999999</v>
      </c>
      <c r="E22" s="129"/>
      <c r="G22" s="117"/>
      <c r="H22" s="117"/>
      <c r="I22" s="117"/>
      <c r="J22" s="117"/>
      <c r="K22" s="117"/>
      <c r="L22" s="117"/>
      <c r="M22" s="117"/>
    </row>
    <row r="23" spans="1:13" ht="15" x14ac:dyDescent="0.2">
      <c r="A23" s="127"/>
      <c r="B23" s="443"/>
      <c r="C23" s="444"/>
      <c r="D23" s="128"/>
      <c r="E23" s="129"/>
      <c r="G23" s="117"/>
      <c r="H23" s="117"/>
      <c r="I23" s="117"/>
      <c r="J23" s="117"/>
      <c r="K23" s="117"/>
      <c r="L23" s="117"/>
      <c r="M23" s="117"/>
    </row>
    <row r="24" spans="1:13" ht="14.25" x14ac:dyDescent="0.2">
      <c r="A24" s="122" t="s">
        <v>136</v>
      </c>
      <c r="B24" s="422" t="s">
        <v>137</v>
      </c>
      <c r="C24" s="423"/>
      <c r="D24" s="124">
        <v>0.02</v>
      </c>
      <c r="E24" s="125"/>
      <c r="F24" s="130"/>
      <c r="G24" s="117"/>
      <c r="H24" s="117"/>
      <c r="I24" s="117"/>
      <c r="J24" s="117"/>
      <c r="K24" s="117"/>
      <c r="L24" s="117"/>
      <c r="M24" s="117"/>
    </row>
    <row r="25" spans="1:13" ht="14.25" x14ac:dyDescent="0.2">
      <c r="A25" s="122" t="s">
        <v>174</v>
      </c>
      <c r="B25" s="422" t="s">
        <v>139</v>
      </c>
      <c r="C25" s="423"/>
      <c r="D25" s="124">
        <v>4.5400000000000003E-2</v>
      </c>
      <c r="E25" s="125"/>
      <c r="G25" s="117"/>
      <c r="H25" s="117"/>
      <c r="I25" s="131"/>
      <c r="J25" s="117"/>
      <c r="K25" s="117"/>
      <c r="L25" s="117"/>
      <c r="M25" s="117"/>
    </row>
    <row r="26" spans="1:13" ht="14.25" x14ac:dyDescent="0.2">
      <c r="A26" s="122" t="s">
        <v>138</v>
      </c>
      <c r="B26" s="422" t="s">
        <v>141</v>
      </c>
      <c r="C26" s="423"/>
      <c r="D26" s="124">
        <v>8.9999999999999998E-4</v>
      </c>
      <c r="E26" s="125"/>
      <c r="G26" s="117"/>
      <c r="H26" s="117"/>
      <c r="I26" s="117"/>
      <c r="J26" s="117"/>
      <c r="K26" s="117"/>
      <c r="L26" s="117"/>
      <c r="M26" s="117"/>
    </row>
    <row r="27" spans="1:13" ht="14.25" x14ac:dyDescent="0.2">
      <c r="A27" s="122" t="s">
        <v>140</v>
      </c>
      <c r="B27" s="422" t="s">
        <v>143</v>
      </c>
      <c r="C27" s="423"/>
      <c r="D27" s="124">
        <v>2.1999999999999999E-2</v>
      </c>
      <c r="E27" s="125"/>
      <c r="G27" s="117"/>
      <c r="H27" s="132"/>
      <c r="I27" s="117"/>
      <c r="J27" s="117"/>
      <c r="K27" s="117"/>
      <c r="L27" s="117"/>
      <c r="M27" s="117"/>
    </row>
    <row r="28" spans="1:13" ht="14.25" x14ac:dyDescent="0.2">
      <c r="A28" s="122" t="s">
        <v>142</v>
      </c>
      <c r="B28" s="422" t="s">
        <v>144</v>
      </c>
      <c r="C28" s="423"/>
      <c r="D28" s="124">
        <v>2E-3</v>
      </c>
      <c r="E28" s="125"/>
      <c r="G28" s="117"/>
      <c r="H28" s="117"/>
      <c r="I28" s="117"/>
      <c r="J28" s="117"/>
      <c r="K28" s="117"/>
      <c r="L28" s="117"/>
      <c r="M28" s="117"/>
    </row>
    <row r="29" spans="1:13" ht="15" x14ac:dyDescent="0.2">
      <c r="A29" s="122" t="s">
        <v>145</v>
      </c>
      <c r="B29" s="439" t="s">
        <v>146</v>
      </c>
      <c r="C29" s="440"/>
      <c r="D29" s="126">
        <f>SUM(D24:D28)</f>
        <v>9.0299999999999991E-2</v>
      </c>
      <c r="E29" s="129"/>
      <c r="G29" s="117"/>
      <c r="H29" s="117"/>
      <c r="I29" s="117"/>
      <c r="J29" s="117"/>
      <c r="K29" s="117"/>
      <c r="L29" s="117"/>
      <c r="M29" s="117"/>
    </row>
    <row r="30" spans="1:13" ht="15" x14ac:dyDescent="0.2">
      <c r="A30" s="127"/>
      <c r="B30" s="443"/>
      <c r="C30" s="444"/>
      <c r="D30" s="128"/>
      <c r="E30" s="129"/>
      <c r="G30" s="117"/>
      <c r="H30" s="117"/>
      <c r="I30" s="117"/>
      <c r="J30" s="117"/>
      <c r="K30" s="117"/>
      <c r="L30" s="117"/>
      <c r="M30" s="117"/>
    </row>
    <row r="31" spans="1:13" ht="20.25" customHeight="1" x14ac:dyDescent="0.2">
      <c r="A31" s="122" t="s">
        <v>147</v>
      </c>
      <c r="B31" s="422" t="s">
        <v>148</v>
      </c>
      <c r="C31" s="423"/>
      <c r="D31" s="124">
        <f>ROUND(D14*D22,4)</f>
        <v>6.3200000000000006E-2</v>
      </c>
      <c r="E31" s="125"/>
      <c r="G31" s="117"/>
      <c r="H31" s="117"/>
      <c r="I31" s="117"/>
      <c r="J31" s="117"/>
      <c r="K31" s="117"/>
      <c r="L31" s="117"/>
      <c r="M31" s="117"/>
    </row>
    <row r="32" spans="1:13" ht="31.5" customHeight="1" x14ac:dyDescent="0.2">
      <c r="A32" s="122" t="s">
        <v>149</v>
      </c>
      <c r="B32" s="447" t="s">
        <v>150</v>
      </c>
      <c r="C32" s="448"/>
      <c r="D32" s="124">
        <f>ROUND((D24*D13),4)</f>
        <v>1.6000000000000001E-3</v>
      </c>
      <c r="E32" s="125"/>
      <c r="G32" s="117"/>
      <c r="H32" s="117"/>
      <c r="I32" s="117"/>
      <c r="J32" s="117"/>
      <c r="K32" s="117"/>
      <c r="L32" s="117"/>
      <c r="M32" s="117"/>
    </row>
    <row r="33" spans="1:13" ht="18.75" customHeight="1" x14ac:dyDescent="0.2">
      <c r="A33" s="122" t="s">
        <v>151</v>
      </c>
      <c r="B33" s="439" t="s">
        <v>152</v>
      </c>
      <c r="C33" s="440"/>
      <c r="D33" s="126">
        <f>SUM(D31:D32)</f>
        <v>6.480000000000001E-2</v>
      </c>
      <c r="E33" s="125"/>
      <c r="G33" s="117"/>
      <c r="H33" s="117"/>
      <c r="I33" s="117"/>
      <c r="J33" s="117"/>
      <c r="K33" s="117"/>
      <c r="L33" s="117"/>
      <c r="M33" s="117"/>
    </row>
    <row r="34" spans="1:13" ht="19.5" customHeight="1" thickBot="1" x14ac:dyDescent="0.25">
      <c r="A34" s="134"/>
      <c r="B34" s="445" t="s">
        <v>153</v>
      </c>
      <c r="C34" s="446"/>
      <c r="D34" s="135">
        <f>D33+D29+D22+D14</f>
        <v>0.69480000000000008</v>
      </c>
      <c r="E34" s="125"/>
      <c r="G34" s="117"/>
      <c r="H34" s="117"/>
      <c r="I34" s="117"/>
      <c r="J34" s="117"/>
      <c r="K34" s="117"/>
      <c r="L34" s="117"/>
      <c r="M34" s="117"/>
    </row>
    <row r="35" spans="1:13" ht="15" x14ac:dyDescent="0.2">
      <c r="A35" s="125"/>
      <c r="B35" s="125"/>
      <c r="C35" s="136"/>
      <c r="D35" s="137"/>
      <c r="E35" s="125"/>
      <c r="G35" s="117"/>
      <c r="H35" s="117"/>
      <c r="I35" s="117"/>
      <c r="J35" s="117"/>
      <c r="K35" s="117"/>
      <c r="L35" s="117"/>
      <c r="M35" s="117"/>
    </row>
    <row r="36" spans="1:13" ht="15.75" x14ac:dyDescent="0.2">
      <c r="A36" s="104"/>
      <c r="B36" s="104"/>
      <c r="C36" s="42"/>
      <c r="D36" s="42"/>
      <c r="E36" s="43"/>
      <c r="F36" s="43"/>
      <c r="G36" s="117"/>
      <c r="H36" s="117"/>
      <c r="I36" s="117"/>
      <c r="J36" s="117"/>
      <c r="K36" s="117"/>
      <c r="L36" s="117"/>
      <c r="M36" s="117"/>
    </row>
    <row r="37" spans="1:13" ht="37.5" customHeight="1" x14ac:dyDescent="0.2">
      <c r="A37" s="7"/>
      <c r="B37" s="7"/>
      <c r="C37" s="279"/>
      <c r="D37" s="104"/>
      <c r="E37" s="210"/>
      <c r="F37" s="210"/>
      <c r="G37" s="117"/>
      <c r="H37" s="117"/>
      <c r="I37" s="117"/>
      <c r="J37" s="117"/>
      <c r="K37" s="117"/>
      <c r="L37" s="117"/>
      <c r="M37" s="117"/>
    </row>
    <row r="38" spans="1:13" ht="17.25" customHeight="1" x14ac:dyDescent="0.2">
      <c r="A38" s="7"/>
      <c r="B38" s="7"/>
      <c r="C38" s="301" t="s">
        <v>220</v>
      </c>
      <c r="D38" s="301"/>
      <c r="E38" s="301"/>
      <c r="G38" s="117"/>
      <c r="H38" s="117"/>
      <c r="I38" s="117"/>
      <c r="J38" s="117"/>
      <c r="K38" s="117"/>
      <c r="L38" s="117"/>
      <c r="M38" s="117"/>
    </row>
    <row r="39" spans="1:13" x14ac:dyDescent="0.2">
      <c r="A39" s="5"/>
      <c r="B39" s="5"/>
      <c r="C39" s="291" t="s">
        <v>221</v>
      </c>
      <c r="D39" s="291"/>
      <c r="E39" s="291"/>
      <c r="G39" s="117"/>
      <c r="H39" s="117"/>
      <c r="I39" s="117"/>
      <c r="J39" s="117"/>
      <c r="K39" s="117"/>
      <c r="L39" s="117"/>
      <c r="M39" s="117"/>
    </row>
    <row r="40" spans="1:13" ht="15" x14ac:dyDescent="0.2">
      <c r="A40" s="123"/>
      <c r="B40" s="123"/>
      <c r="C40" s="139"/>
      <c r="D40" s="140"/>
      <c r="E40" s="123"/>
      <c r="G40" s="117"/>
      <c r="H40" s="117"/>
      <c r="I40" s="117"/>
      <c r="J40" s="117"/>
      <c r="K40" s="117"/>
      <c r="L40" s="117"/>
      <c r="M40" s="117"/>
    </row>
    <row r="41" spans="1:13" ht="15" x14ac:dyDescent="0.2">
      <c r="A41" s="133"/>
      <c r="B41" s="133"/>
      <c r="C41" s="139"/>
      <c r="D41" s="140"/>
      <c r="E41" s="133"/>
      <c r="F41" s="117"/>
      <c r="G41" s="117"/>
      <c r="H41" s="117"/>
      <c r="I41" s="117"/>
      <c r="J41" s="117"/>
      <c r="K41" s="117"/>
      <c r="L41" s="117"/>
      <c r="M41" s="117"/>
    </row>
    <row r="42" spans="1:13" ht="16.5" x14ac:dyDescent="0.2">
      <c r="A42" s="141"/>
      <c r="B42" s="141"/>
      <c r="C42" s="117"/>
      <c r="D42" s="117"/>
      <c r="F42" s="117"/>
      <c r="G42" s="117"/>
      <c r="H42" s="117"/>
      <c r="I42" s="117"/>
      <c r="J42" s="117"/>
      <c r="K42" s="117"/>
      <c r="L42" s="117"/>
      <c r="M42" s="117"/>
    </row>
    <row r="43" spans="1:13" x14ac:dyDescent="0.2">
      <c r="A43" s="142"/>
      <c r="B43" s="142"/>
      <c r="C43" s="143"/>
      <c r="D43" s="143"/>
      <c r="F43" s="117"/>
      <c r="G43" s="117"/>
      <c r="H43" s="117"/>
      <c r="I43" s="117"/>
      <c r="J43" s="117"/>
      <c r="K43" s="117"/>
      <c r="L43" s="117"/>
      <c r="M43" s="117"/>
    </row>
    <row r="44" spans="1:13" ht="14.25" x14ac:dyDescent="0.2">
      <c r="A44" s="123"/>
      <c r="B44" s="123"/>
      <c r="C44" s="144"/>
      <c r="D44" s="143"/>
      <c r="F44" s="117"/>
      <c r="G44" s="117"/>
      <c r="H44" s="117"/>
      <c r="I44" s="117"/>
      <c r="J44" s="117"/>
      <c r="K44" s="117"/>
      <c r="L44" s="117"/>
      <c r="M44" s="117"/>
    </row>
    <row r="45" spans="1:13" ht="14.25" x14ac:dyDescent="0.2">
      <c r="A45" s="123"/>
      <c r="B45" s="123"/>
      <c r="C45" s="144"/>
      <c r="D45" s="123"/>
      <c r="F45" s="117"/>
      <c r="G45" s="117"/>
      <c r="H45" s="117"/>
      <c r="I45" s="117"/>
      <c r="J45" s="117"/>
      <c r="K45" s="117"/>
      <c r="L45" s="117"/>
      <c r="M45" s="117"/>
    </row>
    <row r="46" spans="1:13" ht="14.25" x14ac:dyDescent="0.2">
      <c r="A46" s="123"/>
      <c r="B46" s="123"/>
      <c r="C46" s="138"/>
      <c r="D46" s="143"/>
      <c r="F46" s="117"/>
      <c r="G46" s="117"/>
      <c r="H46" s="117"/>
      <c r="I46" s="117"/>
      <c r="J46" s="117"/>
      <c r="K46" s="117"/>
      <c r="L46" s="117"/>
      <c r="M46" s="117"/>
    </row>
    <row r="47" spans="1:13" ht="14.25" x14ac:dyDescent="0.2">
      <c r="A47" s="123"/>
      <c r="B47" s="123"/>
      <c r="C47" s="144"/>
      <c r="D47" s="123"/>
      <c r="F47" s="117"/>
      <c r="G47" s="117"/>
      <c r="H47" s="117"/>
      <c r="I47" s="117"/>
      <c r="J47" s="117"/>
      <c r="K47" s="117"/>
      <c r="L47" s="117"/>
      <c r="M47" s="117"/>
    </row>
    <row r="48" spans="1:13" ht="14.25" x14ac:dyDescent="0.2">
      <c r="A48" s="123"/>
      <c r="B48" s="123"/>
      <c r="C48" s="138"/>
      <c r="D48" s="143"/>
      <c r="F48" s="117"/>
      <c r="G48" s="117"/>
      <c r="H48" s="117"/>
      <c r="I48" s="117"/>
      <c r="J48" s="117"/>
      <c r="K48" s="117"/>
      <c r="L48" s="117"/>
      <c r="M48" s="117"/>
    </row>
    <row r="49" spans="1:13" ht="14.25" x14ac:dyDescent="0.2">
      <c r="A49" s="123"/>
      <c r="B49" s="123"/>
      <c r="C49" s="144"/>
      <c r="D49" s="123"/>
      <c r="F49" s="117"/>
      <c r="G49" s="117"/>
      <c r="H49" s="117"/>
      <c r="I49" s="117"/>
      <c r="J49" s="117"/>
      <c r="K49" s="117"/>
      <c r="L49" s="117"/>
      <c r="M49" s="117"/>
    </row>
    <row r="50" spans="1:13" ht="14.25" x14ac:dyDescent="0.2">
      <c r="A50" s="123"/>
      <c r="B50" s="123"/>
      <c r="C50" s="138"/>
      <c r="D50" s="143"/>
      <c r="F50" s="117"/>
      <c r="G50" s="117"/>
      <c r="H50" s="117"/>
      <c r="I50" s="117"/>
      <c r="J50" s="117"/>
      <c r="K50" s="117"/>
      <c r="L50" s="117"/>
      <c r="M50" s="117"/>
    </row>
    <row r="51" spans="1:13" ht="14.25" x14ac:dyDescent="0.2">
      <c r="A51" s="123"/>
      <c r="B51" s="123"/>
      <c r="C51" s="144"/>
      <c r="D51" s="123"/>
      <c r="F51" s="117"/>
      <c r="G51" s="117"/>
      <c r="H51" s="117"/>
      <c r="I51" s="117"/>
      <c r="J51" s="117"/>
      <c r="K51" s="117"/>
      <c r="L51" s="117"/>
      <c r="M51" s="117"/>
    </row>
    <row r="52" spans="1:13" ht="14.25" x14ac:dyDescent="0.2">
      <c r="A52" s="123"/>
      <c r="B52" s="123"/>
      <c r="C52" s="138"/>
      <c r="D52" s="143"/>
      <c r="F52" s="117"/>
      <c r="G52" s="117"/>
      <c r="H52" s="117"/>
      <c r="I52" s="117"/>
      <c r="J52" s="117"/>
      <c r="K52" s="117"/>
      <c r="L52" s="117"/>
      <c r="M52" s="117"/>
    </row>
    <row r="53" spans="1:13" ht="16.5" x14ac:dyDescent="0.2">
      <c r="A53" s="141"/>
      <c r="B53" s="141"/>
      <c r="C53" s="117"/>
      <c r="D53" s="117"/>
      <c r="F53" s="117"/>
      <c r="G53" s="117"/>
      <c r="H53" s="117"/>
      <c r="I53" s="117"/>
      <c r="J53" s="117"/>
      <c r="K53" s="117"/>
      <c r="L53" s="117"/>
      <c r="M53" s="117"/>
    </row>
    <row r="54" spans="1:13" x14ac:dyDescent="0.2">
      <c r="A54" s="117"/>
      <c r="B54" s="117"/>
      <c r="C54" s="117"/>
      <c r="D54" s="117"/>
      <c r="F54" s="117"/>
      <c r="G54" s="117"/>
      <c r="H54" s="117"/>
      <c r="I54" s="117"/>
      <c r="J54" s="117"/>
      <c r="K54" s="117"/>
      <c r="L54" s="117"/>
      <c r="M54" s="117"/>
    </row>
    <row r="55" spans="1:13" x14ac:dyDescent="0.2">
      <c r="A55" s="117"/>
      <c r="B55" s="117"/>
      <c r="C55" s="117"/>
      <c r="D55" s="117"/>
      <c r="F55" s="117"/>
      <c r="G55" s="117"/>
      <c r="H55" s="117"/>
      <c r="I55" s="117"/>
      <c r="J55" s="117"/>
      <c r="K55" s="117"/>
      <c r="L55" s="117"/>
      <c r="M55" s="117"/>
    </row>
    <row r="56" spans="1:13" x14ac:dyDescent="0.2">
      <c r="A56" s="145"/>
      <c r="B56" s="145"/>
      <c r="C56" s="117"/>
      <c r="D56" s="117"/>
      <c r="F56" s="117"/>
      <c r="G56" s="117"/>
      <c r="H56" s="117"/>
      <c r="I56" s="117"/>
      <c r="J56" s="117"/>
      <c r="K56" s="117"/>
      <c r="L56" s="117"/>
      <c r="M56" s="117"/>
    </row>
    <row r="57" spans="1:13" x14ac:dyDescent="0.2">
      <c r="A57" s="117"/>
      <c r="B57" s="117"/>
      <c r="C57" s="117"/>
      <c r="D57" s="117"/>
      <c r="F57" s="117"/>
    </row>
    <row r="58" spans="1:13" x14ac:dyDescent="0.2">
      <c r="A58" s="117"/>
      <c r="B58" s="117"/>
      <c r="C58" s="117"/>
      <c r="D58" s="117"/>
      <c r="F58" s="117"/>
    </row>
    <row r="59" spans="1:13" x14ac:dyDescent="0.2">
      <c r="A59" s="117"/>
      <c r="B59" s="117"/>
      <c r="C59" s="117"/>
      <c r="D59" s="117"/>
      <c r="F59" s="117"/>
    </row>
    <row r="60" spans="1:13" x14ac:dyDescent="0.2">
      <c r="A60" s="117"/>
      <c r="B60" s="117"/>
      <c r="C60" s="117"/>
      <c r="D60" s="117"/>
      <c r="F60" s="117"/>
    </row>
    <row r="61" spans="1:13" x14ac:dyDescent="0.2">
      <c r="A61" s="117"/>
      <c r="B61" s="117"/>
      <c r="C61" s="117"/>
      <c r="D61" s="117"/>
      <c r="F61" s="117"/>
    </row>
    <row r="62" spans="1:13" x14ac:dyDescent="0.2">
      <c r="A62" s="117"/>
      <c r="B62" s="117"/>
      <c r="C62" s="117"/>
      <c r="D62" s="117"/>
      <c r="F62" s="117"/>
    </row>
    <row r="63" spans="1:13" x14ac:dyDescent="0.2">
      <c r="A63" s="117"/>
      <c r="B63" s="117"/>
      <c r="C63" s="117"/>
      <c r="D63" s="117"/>
      <c r="F63" s="117"/>
    </row>
    <row r="64" spans="1:13" x14ac:dyDescent="0.2">
      <c r="A64" s="117"/>
      <c r="B64" s="117"/>
      <c r="C64" s="117"/>
      <c r="D64" s="117"/>
      <c r="F64" s="117"/>
    </row>
    <row r="65" spans="1:6" x14ac:dyDescent="0.2">
      <c r="A65" s="117"/>
      <c r="B65" s="117"/>
      <c r="C65" s="117"/>
      <c r="D65" s="117"/>
      <c r="F65" s="117"/>
    </row>
  </sheetData>
  <mergeCells count="35">
    <mergeCell ref="B23:C23"/>
    <mergeCell ref="B30:C30"/>
    <mergeCell ref="B24:C24"/>
    <mergeCell ref="B29:C29"/>
    <mergeCell ref="B33:C33"/>
    <mergeCell ref="B34:C34"/>
    <mergeCell ref="B25:C25"/>
    <mergeCell ref="B26:C26"/>
    <mergeCell ref="B27:C27"/>
    <mergeCell ref="B28:C28"/>
    <mergeCell ref="B31:C31"/>
    <mergeCell ref="B32:C32"/>
    <mergeCell ref="B19:C19"/>
    <mergeCell ref="B20:C20"/>
    <mergeCell ref="B21:C21"/>
    <mergeCell ref="B22:C22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A4:D4"/>
    <mergeCell ref="A1:C1"/>
    <mergeCell ref="A2:C2"/>
    <mergeCell ref="A3:C3"/>
    <mergeCell ref="D1:D3"/>
  </mergeCells>
  <pageMargins left="0.90551181102362199" right="0.51181102362204722" top="0.74803149606299213" bottom="0.74803149606299213" header="0.31496062992125984" footer="0.31496062992125984"/>
  <pageSetup paperSize="9" scale="97" orientation="portrait" verticalDpi="597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6"/>
  <sheetViews>
    <sheetView zoomScaleNormal="100" workbookViewId="0">
      <selection activeCell="N21" sqref="N21"/>
    </sheetView>
  </sheetViews>
  <sheetFormatPr defaultRowHeight="12.75" x14ac:dyDescent="0.2"/>
  <cols>
    <col min="1" max="1" width="33.7109375" customWidth="1"/>
    <col min="2" max="2" width="8.85546875" customWidth="1"/>
    <col min="3" max="3" width="9.7109375" customWidth="1"/>
    <col min="4" max="4" width="11.140625" customWidth="1"/>
    <col min="5" max="5" width="10.7109375" style="90" customWidth="1"/>
    <col min="6" max="6" width="13.140625" customWidth="1"/>
  </cols>
  <sheetData>
    <row r="1" spans="1:18" ht="58.5" customHeight="1" x14ac:dyDescent="0.2">
      <c r="A1" s="427" t="s">
        <v>218</v>
      </c>
      <c r="B1" s="428"/>
      <c r="C1" s="428"/>
      <c r="D1" s="428"/>
      <c r="E1" s="429"/>
      <c r="F1" s="297"/>
    </row>
    <row r="2" spans="1:18" ht="21.75" customHeight="1" x14ac:dyDescent="0.2">
      <c r="A2" s="451" t="s">
        <v>219</v>
      </c>
      <c r="B2" s="452"/>
      <c r="C2" s="452"/>
      <c r="D2" s="452"/>
      <c r="E2" s="452"/>
      <c r="F2" s="453"/>
    </row>
    <row r="3" spans="1:18" ht="21" customHeight="1" x14ac:dyDescent="0.2">
      <c r="A3" s="306" t="s">
        <v>225</v>
      </c>
      <c r="B3" s="307"/>
      <c r="C3" s="307"/>
      <c r="D3" s="307"/>
      <c r="E3" s="307"/>
      <c r="F3" s="98"/>
    </row>
    <row r="4" spans="1:18" s="109" customFormat="1" ht="11.25" customHeight="1" x14ac:dyDescent="0.2">
      <c r="A4" s="234"/>
      <c r="B4" s="41"/>
      <c r="C4" s="41"/>
      <c r="D4" s="45"/>
      <c r="E4" s="45"/>
      <c r="F4" s="98"/>
    </row>
    <row r="5" spans="1:18" s="109" customFormat="1" ht="14.25" x14ac:dyDescent="0.2">
      <c r="A5" s="298" t="s">
        <v>190</v>
      </c>
      <c r="B5" s="294"/>
      <c r="C5" s="294"/>
      <c r="D5" s="295"/>
      <c r="E5" s="296"/>
      <c r="F5" s="299"/>
      <c r="K5" s="148"/>
      <c r="L5" s="148"/>
      <c r="M5" s="148"/>
      <c r="N5" s="148"/>
      <c r="O5" s="148"/>
      <c r="P5" s="148"/>
      <c r="Q5" s="148"/>
      <c r="R5" s="148"/>
    </row>
    <row r="6" spans="1:18" s="109" customFormat="1" ht="12.75" customHeight="1" x14ac:dyDescent="0.2">
      <c r="A6" s="234" t="s">
        <v>166</v>
      </c>
      <c r="B6" s="108"/>
      <c r="C6" s="108"/>
      <c r="D6" s="148"/>
      <c r="E6" s="289"/>
      <c r="F6" s="290"/>
      <c r="K6" s="148"/>
      <c r="L6" s="148"/>
      <c r="M6" s="148"/>
      <c r="N6" s="148"/>
      <c r="O6" s="148"/>
      <c r="P6" s="148"/>
      <c r="Q6" s="148"/>
      <c r="R6" s="148"/>
    </row>
    <row r="7" spans="1:18" s="109" customFormat="1" ht="9" customHeight="1" thickBot="1" x14ac:dyDescent="0.25">
      <c r="A7" s="146"/>
      <c r="B7" s="108"/>
      <c r="C7" s="108"/>
      <c r="D7" s="148"/>
      <c r="E7" s="289"/>
      <c r="F7" s="290"/>
      <c r="K7" s="148"/>
      <c r="L7" s="449"/>
      <c r="M7" s="449"/>
      <c r="N7" s="449"/>
      <c r="O7" s="449"/>
      <c r="P7" s="449"/>
      <c r="Q7" s="45"/>
      <c r="R7" s="148"/>
    </row>
    <row r="8" spans="1:18" s="109" customFormat="1" ht="26.25" customHeight="1" x14ac:dyDescent="0.2">
      <c r="A8" s="460" t="s">
        <v>271</v>
      </c>
      <c r="B8" s="461"/>
      <c r="C8" s="461"/>
      <c r="D8" s="461"/>
      <c r="E8" s="461"/>
      <c r="F8" s="462"/>
      <c r="K8" s="148"/>
      <c r="L8" s="309"/>
      <c r="M8" s="309"/>
      <c r="N8" s="309"/>
      <c r="O8" s="309"/>
      <c r="P8" s="309"/>
      <c r="Q8" s="45"/>
      <c r="R8" s="148"/>
    </row>
    <row r="9" spans="1:18" ht="19.5" customHeight="1" thickBot="1" x14ac:dyDescent="0.25">
      <c r="A9" s="463" t="s">
        <v>274</v>
      </c>
      <c r="B9" s="464"/>
      <c r="C9" s="464"/>
      <c r="D9" s="464"/>
      <c r="E9" s="464"/>
      <c r="F9" s="465"/>
      <c r="K9" s="288"/>
      <c r="L9" s="390"/>
      <c r="M9" s="390"/>
      <c r="N9" s="390"/>
      <c r="O9" s="390"/>
      <c r="P9" s="390"/>
      <c r="Q9" s="45"/>
      <c r="R9" s="288"/>
    </row>
    <row r="10" spans="1:18" ht="14.25" customHeight="1" thickBot="1" x14ac:dyDescent="0.25">
      <c r="A10" s="176"/>
      <c r="B10" s="177"/>
      <c r="C10" s="177"/>
      <c r="D10" s="177"/>
      <c r="E10" s="177"/>
      <c r="F10" s="178"/>
      <c r="K10" s="288"/>
      <c r="L10" s="244"/>
      <c r="M10" s="244"/>
      <c r="N10" s="244"/>
      <c r="O10" s="244"/>
      <c r="P10" s="244"/>
      <c r="Q10" s="45"/>
      <c r="R10" s="288"/>
    </row>
    <row r="11" spans="1:18" ht="15" x14ac:dyDescent="0.25">
      <c r="A11" s="147"/>
      <c r="B11" s="108"/>
      <c r="C11" s="108"/>
      <c r="D11" s="457" t="s">
        <v>189</v>
      </c>
      <c r="E11" s="458"/>
      <c r="F11" s="459"/>
      <c r="G11" s="109"/>
      <c r="H11" s="109"/>
      <c r="K11" s="288"/>
      <c r="L11" s="41"/>
      <c r="M11" s="41"/>
      <c r="N11" s="41"/>
      <c r="O11" s="45"/>
      <c r="P11" s="45"/>
      <c r="Q11" s="45"/>
      <c r="R11" s="288"/>
    </row>
    <row r="12" spans="1:18" ht="15" thickBot="1" x14ac:dyDescent="0.25">
      <c r="A12" s="146"/>
      <c r="B12" s="148"/>
      <c r="C12" s="148"/>
      <c r="D12" s="216" t="s">
        <v>154</v>
      </c>
      <c r="E12" s="217" t="s">
        <v>155</v>
      </c>
      <c r="F12" s="218" t="s">
        <v>156</v>
      </c>
      <c r="G12" s="109"/>
      <c r="H12" s="109"/>
      <c r="K12" s="288"/>
      <c r="L12" s="288"/>
      <c r="M12" s="288"/>
      <c r="N12" s="288"/>
      <c r="O12" s="288"/>
      <c r="P12" s="288"/>
      <c r="Q12" s="288"/>
      <c r="R12" s="288"/>
    </row>
    <row r="13" spans="1:18" ht="14.25" x14ac:dyDescent="0.2">
      <c r="A13" s="149" t="s">
        <v>63</v>
      </c>
      <c r="B13" s="150" t="s">
        <v>64</v>
      </c>
      <c r="C13" s="151">
        <v>5.5E-2</v>
      </c>
      <c r="D13" s="219">
        <v>2.9700000000000001E-2</v>
      </c>
      <c r="E13" s="220">
        <v>5.0799999999999998E-2</v>
      </c>
      <c r="F13" s="221">
        <v>6.2700000000000006E-2</v>
      </c>
      <c r="G13" s="109"/>
      <c r="H13" s="109"/>
      <c r="K13" s="288"/>
      <c r="L13" s="288"/>
      <c r="M13" s="288"/>
      <c r="N13" s="288"/>
      <c r="O13" s="288"/>
      <c r="P13" s="288"/>
      <c r="Q13" s="288"/>
      <c r="R13" s="288"/>
    </row>
    <row r="14" spans="1:18" ht="14.25" x14ac:dyDescent="0.2">
      <c r="A14" s="152" t="s">
        <v>65</v>
      </c>
      <c r="B14" s="310" t="s">
        <v>66</v>
      </c>
      <c r="C14" s="153">
        <v>1.4999999999999999E-2</v>
      </c>
      <c r="D14" s="219">
        <f>0.3%+0.56%</f>
        <v>8.6E-3</v>
      </c>
      <c r="E14" s="220">
        <f>0.48%+0.85%</f>
        <v>1.3299999999999999E-2</v>
      </c>
      <c r="F14" s="221">
        <f>0.82%+0.89%</f>
        <v>1.7099999999999997E-2</v>
      </c>
      <c r="G14" s="109"/>
      <c r="H14" s="109"/>
      <c r="K14" s="288"/>
      <c r="L14" s="288"/>
      <c r="M14" s="288"/>
      <c r="N14" s="288"/>
      <c r="O14" s="288"/>
      <c r="P14" s="288"/>
      <c r="Q14" s="288"/>
      <c r="R14" s="288"/>
    </row>
    <row r="15" spans="1:18" ht="14.25" x14ac:dyDescent="0.2">
      <c r="A15" s="152" t="s">
        <v>67</v>
      </c>
      <c r="B15" s="310" t="s">
        <v>68</v>
      </c>
      <c r="C15" s="153">
        <v>0.109</v>
      </c>
      <c r="D15" s="219">
        <v>7.7799999999999994E-2</v>
      </c>
      <c r="E15" s="220">
        <v>0.1085</v>
      </c>
      <c r="F15" s="221">
        <v>0.13550000000000001</v>
      </c>
      <c r="G15" s="109"/>
      <c r="H15" s="109"/>
    </row>
    <row r="16" spans="1:18" ht="14.25" x14ac:dyDescent="0.2">
      <c r="A16" s="152" t="s">
        <v>69</v>
      </c>
      <c r="B16" s="310" t="s">
        <v>70</v>
      </c>
      <c r="C16" s="154">
        <f>(1+E16)^(E17/252)-1</f>
        <v>2.7773311849892401E-3</v>
      </c>
      <c r="D16" s="219" t="s">
        <v>198</v>
      </c>
      <c r="E16" s="222">
        <v>0.105</v>
      </c>
      <c r="F16" s="223"/>
      <c r="G16" s="109"/>
      <c r="H16" s="109"/>
    </row>
    <row r="17" spans="1:8" ht="14.25" x14ac:dyDescent="0.2">
      <c r="A17" s="152" t="s">
        <v>71</v>
      </c>
      <c r="B17" s="455" t="s">
        <v>72</v>
      </c>
      <c r="C17" s="153">
        <v>0.04</v>
      </c>
      <c r="D17" s="224" t="s">
        <v>157</v>
      </c>
      <c r="E17" s="225">
        <v>7</v>
      </c>
      <c r="F17" s="226"/>
      <c r="G17" s="109"/>
      <c r="H17" s="109"/>
    </row>
    <row r="18" spans="1:8" ht="15" thickBot="1" x14ac:dyDescent="0.25">
      <c r="A18" s="155" t="s">
        <v>73</v>
      </c>
      <c r="B18" s="456"/>
      <c r="C18" s="156">
        <v>3.6499999999999998E-2</v>
      </c>
      <c r="D18" s="227"/>
      <c r="E18" s="228"/>
      <c r="F18" s="226"/>
      <c r="G18" s="109"/>
      <c r="H18" s="109"/>
    </row>
    <row r="19" spans="1:8" ht="16.5" customHeight="1" x14ac:dyDescent="0.2">
      <c r="A19" s="157" t="s">
        <v>74</v>
      </c>
      <c r="B19" s="158"/>
      <c r="C19" s="159"/>
      <c r="D19" s="227"/>
      <c r="E19" s="228"/>
      <c r="F19" s="226"/>
      <c r="G19" s="109"/>
      <c r="H19" s="109"/>
    </row>
    <row r="20" spans="1:8" ht="22.5" customHeight="1" thickBot="1" x14ac:dyDescent="0.25">
      <c r="A20" s="160" t="s">
        <v>75</v>
      </c>
      <c r="B20" s="161"/>
      <c r="C20" s="162"/>
      <c r="D20" s="227"/>
      <c r="E20" s="228"/>
      <c r="F20" s="226"/>
      <c r="G20" s="109"/>
      <c r="H20" s="109"/>
    </row>
    <row r="21" spans="1:8" ht="24" customHeight="1" thickBot="1" x14ac:dyDescent="0.25">
      <c r="A21" s="163" t="s">
        <v>76</v>
      </c>
      <c r="B21" s="164"/>
      <c r="C21" s="165">
        <f>ROUND((((1+C13+C14)*(1+C15)*(1+C16))/(1-(C17+C18))-1),4)</f>
        <v>0.28849999999999998</v>
      </c>
      <c r="D21" s="229">
        <v>0.21429999999999999</v>
      </c>
      <c r="E21" s="230">
        <v>0.2717</v>
      </c>
      <c r="F21" s="231">
        <v>0.3362</v>
      </c>
      <c r="G21" s="109"/>
      <c r="H21" s="109"/>
    </row>
    <row r="22" spans="1:8" ht="14.25" x14ac:dyDescent="0.2">
      <c r="A22" s="109"/>
      <c r="B22" s="109"/>
      <c r="C22" s="109"/>
      <c r="D22" s="109"/>
      <c r="E22" s="110"/>
      <c r="F22" s="109"/>
      <c r="G22" s="109"/>
      <c r="H22" s="109"/>
    </row>
    <row r="23" spans="1:8" ht="15.75" x14ac:dyDescent="0.2">
      <c r="A23" s="104"/>
      <c r="B23" s="42"/>
      <c r="C23" s="42"/>
      <c r="D23" s="43"/>
      <c r="E23" s="43"/>
      <c r="F23" s="109"/>
      <c r="G23" s="109"/>
      <c r="H23" s="109"/>
    </row>
    <row r="24" spans="1:8" ht="53.25" customHeight="1" x14ac:dyDescent="0.2">
      <c r="A24" s="7"/>
      <c r="B24" s="7"/>
      <c r="C24" s="292"/>
      <c r="D24" s="293"/>
      <c r="E24" s="293"/>
      <c r="F24" s="109"/>
      <c r="G24" s="109"/>
      <c r="H24" s="109"/>
    </row>
    <row r="25" spans="1:8" ht="14.25" customHeight="1" x14ac:dyDescent="0.2">
      <c r="A25" s="7"/>
      <c r="B25" s="7"/>
      <c r="C25" s="454" t="s">
        <v>220</v>
      </c>
      <c r="D25" s="454"/>
      <c r="E25" s="454"/>
      <c r="F25" s="109"/>
      <c r="G25" s="109"/>
      <c r="H25" s="109"/>
    </row>
    <row r="26" spans="1:8" x14ac:dyDescent="0.2">
      <c r="A26" s="5"/>
      <c r="B26" s="5"/>
      <c r="C26" s="450" t="s">
        <v>221</v>
      </c>
      <c r="D26" s="450"/>
      <c r="E26" s="450"/>
    </row>
  </sheetData>
  <mergeCells count="10">
    <mergeCell ref="L7:P7"/>
    <mergeCell ref="L9:P9"/>
    <mergeCell ref="C26:E26"/>
    <mergeCell ref="A1:E1"/>
    <mergeCell ref="A2:F2"/>
    <mergeCell ref="C25:E25"/>
    <mergeCell ref="B17:B18"/>
    <mergeCell ref="D11:F11"/>
    <mergeCell ref="A8:F8"/>
    <mergeCell ref="A9:F9"/>
  </mergeCells>
  <pageMargins left="0.82" right="0.51181102362204722" top="0.74803149606299213" bottom="0.74803149606299213" header="0.31496062992125984" footer="0.31496062992125984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6"/>
  <sheetViews>
    <sheetView zoomScaleNormal="100" workbookViewId="0">
      <selection activeCell="M24" sqref="M24"/>
    </sheetView>
  </sheetViews>
  <sheetFormatPr defaultRowHeight="12.75" x14ac:dyDescent="0.2"/>
  <cols>
    <col min="1" max="1" width="33.7109375" customWidth="1"/>
    <col min="2" max="2" width="8.85546875" customWidth="1"/>
    <col min="3" max="3" width="9.7109375" customWidth="1"/>
    <col min="4" max="4" width="11.140625" customWidth="1"/>
    <col min="5" max="5" width="10.7109375" style="90" customWidth="1"/>
    <col min="6" max="6" width="13.140625" customWidth="1"/>
  </cols>
  <sheetData>
    <row r="1" spans="1:18" ht="58.5" customHeight="1" x14ac:dyDescent="0.2">
      <c r="A1" s="427" t="s">
        <v>218</v>
      </c>
      <c r="B1" s="428"/>
      <c r="C1" s="428"/>
      <c r="D1" s="428"/>
      <c r="E1" s="429"/>
      <c r="F1" s="297"/>
    </row>
    <row r="2" spans="1:18" ht="21.75" customHeight="1" x14ac:dyDescent="0.2">
      <c r="A2" s="451" t="s">
        <v>219</v>
      </c>
      <c r="B2" s="452"/>
      <c r="C2" s="452"/>
      <c r="D2" s="452"/>
      <c r="E2" s="452"/>
      <c r="F2" s="453"/>
    </row>
    <row r="3" spans="1:18" ht="18" customHeight="1" x14ac:dyDescent="0.2">
      <c r="A3" s="306" t="s">
        <v>225</v>
      </c>
      <c r="B3" s="307"/>
      <c r="C3" s="307"/>
      <c r="D3" s="307"/>
      <c r="E3" s="307"/>
      <c r="F3" s="98"/>
    </row>
    <row r="4" spans="1:18" s="109" customFormat="1" ht="11.25" customHeight="1" x14ac:dyDescent="0.2">
      <c r="A4" s="234"/>
      <c r="B4" s="41"/>
      <c r="C4" s="41"/>
      <c r="D4" s="45"/>
      <c r="E4" s="45"/>
      <c r="F4" s="98"/>
    </row>
    <row r="5" spans="1:18" s="109" customFormat="1" ht="14.25" x14ac:dyDescent="0.2">
      <c r="A5" s="298" t="s">
        <v>190</v>
      </c>
      <c r="B5" s="294"/>
      <c r="C5" s="294"/>
      <c r="D5" s="295"/>
      <c r="E5" s="296"/>
      <c r="F5" s="299"/>
      <c r="K5" s="148"/>
      <c r="L5" s="148"/>
      <c r="M5" s="148"/>
      <c r="N5" s="148"/>
      <c r="O5" s="148"/>
      <c r="P5" s="148"/>
      <c r="Q5" s="148"/>
      <c r="R5" s="148"/>
    </row>
    <row r="6" spans="1:18" s="109" customFormat="1" ht="12.75" customHeight="1" x14ac:dyDescent="0.2">
      <c r="A6" s="234" t="s">
        <v>166</v>
      </c>
      <c r="B6" s="108"/>
      <c r="C6" s="108"/>
      <c r="D6" s="148"/>
      <c r="E6" s="289"/>
      <c r="F6" s="290"/>
      <c r="K6" s="148"/>
      <c r="L6" s="148"/>
      <c r="M6" s="148"/>
      <c r="N6" s="148"/>
      <c r="O6" s="148"/>
      <c r="P6" s="148"/>
      <c r="Q6" s="148"/>
      <c r="R6" s="148"/>
    </row>
    <row r="7" spans="1:18" s="109" customFormat="1" ht="10.5" customHeight="1" thickBot="1" x14ac:dyDescent="0.25">
      <c r="A7" s="146"/>
      <c r="B7" s="108"/>
      <c r="C7" s="108"/>
      <c r="D7" s="148"/>
      <c r="E7" s="289"/>
      <c r="F7" s="290"/>
      <c r="K7" s="148"/>
      <c r="L7" s="449"/>
      <c r="M7" s="449"/>
      <c r="N7" s="449"/>
      <c r="O7" s="449"/>
      <c r="P7" s="449"/>
      <c r="Q7" s="45"/>
      <c r="R7" s="148"/>
    </row>
    <row r="8" spans="1:18" s="109" customFormat="1" ht="26.25" customHeight="1" x14ac:dyDescent="0.2">
      <c r="A8" s="460" t="s">
        <v>272</v>
      </c>
      <c r="B8" s="461"/>
      <c r="C8" s="461"/>
      <c r="D8" s="461"/>
      <c r="E8" s="461"/>
      <c r="F8" s="462"/>
      <c r="K8" s="148"/>
      <c r="L8" s="309"/>
      <c r="M8" s="309"/>
      <c r="N8" s="309"/>
      <c r="O8" s="309"/>
      <c r="P8" s="309"/>
      <c r="Q8" s="45"/>
      <c r="R8" s="148"/>
    </row>
    <row r="9" spans="1:18" ht="22.5" customHeight="1" thickBot="1" x14ac:dyDescent="0.25">
      <c r="A9" s="466" t="s">
        <v>273</v>
      </c>
      <c r="B9" s="467"/>
      <c r="C9" s="467"/>
      <c r="D9" s="467"/>
      <c r="E9" s="467"/>
      <c r="F9" s="468"/>
      <c r="K9" s="288"/>
      <c r="L9" s="390"/>
      <c r="M9" s="390"/>
      <c r="N9" s="390"/>
      <c r="O9" s="390"/>
      <c r="P9" s="390"/>
      <c r="Q9" s="45"/>
      <c r="R9" s="288"/>
    </row>
    <row r="10" spans="1:18" ht="14.25" customHeight="1" thickBot="1" x14ac:dyDescent="0.25">
      <c r="A10" s="176"/>
      <c r="B10" s="177"/>
      <c r="C10" s="177"/>
      <c r="D10" s="177"/>
      <c r="E10" s="177"/>
      <c r="F10" s="178"/>
      <c r="K10" s="288"/>
      <c r="L10" s="305"/>
      <c r="M10" s="305"/>
      <c r="N10" s="305"/>
      <c r="O10" s="305"/>
      <c r="P10" s="305"/>
      <c r="Q10" s="45"/>
      <c r="R10" s="288"/>
    </row>
    <row r="11" spans="1:18" ht="15" x14ac:dyDescent="0.25">
      <c r="A11" s="147"/>
      <c r="B11" s="108"/>
      <c r="C11" s="108"/>
      <c r="D11" s="457" t="s">
        <v>189</v>
      </c>
      <c r="E11" s="458"/>
      <c r="F11" s="459"/>
      <c r="G11" s="109"/>
      <c r="H11" s="109"/>
      <c r="K11" s="288"/>
      <c r="L11" s="41"/>
      <c r="M11" s="41"/>
      <c r="N11" s="41"/>
      <c r="O11" s="45"/>
      <c r="P11" s="45"/>
      <c r="Q11" s="45"/>
      <c r="R11" s="288"/>
    </row>
    <row r="12" spans="1:18" ht="15" thickBot="1" x14ac:dyDescent="0.25">
      <c r="A12" s="146"/>
      <c r="B12" s="148"/>
      <c r="C12" s="148"/>
      <c r="D12" s="216" t="s">
        <v>154</v>
      </c>
      <c r="E12" s="217" t="s">
        <v>155</v>
      </c>
      <c r="F12" s="218" t="s">
        <v>156</v>
      </c>
      <c r="G12" s="109"/>
      <c r="H12" s="109"/>
      <c r="K12" s="288"/>
      <c r="L12" s="288"/>
      <c r="M12" s="288"/>
      <c r="N12" s="288"/>
      <c r="O12" s="288"/>
      <c r="P12" s="288"/>
      <c r="Q12" s="288"/>
      <c r="R12" s="288"/>
    </row>
    <row r="13" spans="1:18" ht="14.25" x14ac:dyDescent="0.2">
      <c r="A13" s="149" t="s">
        <v>63</v>
      </c>
      <c r="B13" s="150" t="s">
        <v>64</v>
      </c>
      <c r="C13" s="151">
        <v>3.5000000000000003E-2</v>
      </c>
      <c r="D13" s="219">
        <v>2.9700000000000001E-2</v>
      </c>
      <c r="E13" s="220">
        <v>5.0799999999999998E-2</v>
      </c>
      <c r="F13" s="221">
        <v>6.2700000000000006E-2</v>
      </c>
      <c r="G13" s="109"/>
      <c r="H13" s="109"/>
      <c r="K13" s="288"/>
      <c r="L13" s="288"/>
      <c r="M13" s="288"/>
      <c r="N13" s="288"/>
      <c r="O13" s="288"/>
      <c r="P13" s="288"/>
      <c r="Q13" s="288"/>
      <c r="R13" s="288"/>
    </row>
    <row r="14" spans="1:18" ht="14.25" x14ac:dyDescent="0.2">
      <c r="A14" s="152" t="s">
        <v>65</v>
      </c>
      <c r="B14" s="310" t="s">
        <v>66</v>
      </c>
      <c r="C14" s="153">
        <v>0.01</v>
      </c>
      <c r="D14" s="219">
        <f>0.3%+0.56%</f>
        <v>8.6E-3</v>
      </c>
      <c r="E14" s="220">
        <f>0.48%+0.85%</f>
        <v>1.3299999999999999E-2</v>
      </c>
      <c r="F14" s="221">
        <f>0.82%+0.89%</f>
        <v>1.7099999999999997E-2</v>
      </c>
      <c r="G14" s="109"/>
      <c r="H14" s="109"/>
      <c r="K14" s="288"/>
      <c r="L14" s="288"/>
      <c r="M14" s="288"/>
      <c r="N14" s="288"/>
      <c r="O14" s="288"/>
      <c r="P14" s="288"/>
      <c r="Q14" s="288"/>
      <c r="R14" s="288"/>
    </row>
    <row r="15" spans="1:18" ht="14.25" x14ac:dyDescent="0.2">
      <c r="A15" s="152" t="s">
        <v>67</v>
      </c>
      <c r="B15" s="310" t="s">
        <v>68</v>
      </c>
      <c r="C15" s="153">
        <v>8.5000000000000006E-2</v>
      </c>
      <c r="D15" s="219">
        <v>7.7799999999999994E-2</v>
      </c>
      <c r="E15" s="220">
        <v>0.1085</v>
      </c>
      <c r="F15" s="221">
        <v>0.13550000000000001</v>
      </c>
      <c r="G15" s="109"/>
      <c r="H15" s="109"/>
    </row>
    <row r="16" spans="1:18" ht="14.25" x14ac:dyDescent="0.2">
      <c r="A16" s="152" t="s">
        <v>69</v>
      </c>
      <c r="B16" s="310" t="s">
        <v>70</v>
      </c>
      <c r="C16" s="154">
        <f>(1+E16)^(E17/252)-1</f>
        <v>2.7773311849892401E-3</v>
      </c>
      <c r="D16" s="219" t="s">
        <v>198</v>
      </c>
      <c r="E16" s="222">
        <v>0.105</v>
      </c>
      <c r="F16" s="223"/>
      <c r="G16" s="109"/>
      <c r="H16" s="109"/>
    </row>
    <row r="17" spans="1:8" ht="14.25" x14ac:dyDescent="0.2">
      <c r="A17" s="152" t="s">
        <v>71</v>
      </c>
      <c r="B17" s="455" t="s">
        <v>72</v>
      </c>
      <c r="C17" s="153">
        <v>0</v>
      </c>
      <c r="D17" s="224" t="s">
        <v>157</v>
      </c>
      <c r="E17" s="225">
        <v>7</v>
      </c>
      <c r="F17" s="226"/>
      <c r="G17" s="109"/>
      <c r="H17" s="109"/>
    </row>
    <row r="18" spans="1:8" ht="15" thickBot="1" x14ac:dyDescent="0.25">
      <c r="A18" s="155" t="s">
        <v>73</v>
      </c>
      <c r="B18" s="456"/>
      <c r="C18" s="156">
        <v>3.6499999999999998E-2</v>
      </c>
      <c r="D18" s="227"/>
      <c r="E18" s="228"/>
      <c r="F18" s="226"/>
      <c r="G18" s="109"/>
      <c r="H18" s="109"/>
    </row>
    <row r="19" spans="1:8" ht="16.5" customHeight="1" x14ac:dyDescent="0.2">
      <c r="A19" s="157" t="s">
        <v>74</v>
      </c>
      <c r="B19" s="158"/>
      <c r="C19" s="159"/>
      <c r="D19" s="227"/>
      <c r="E19" s="228"/>
      <c r="F19" s="226"/>
      <c r="G19" s="109"/>
      <c r="H19" s="109"/>
    </row>
    <row r="20" spans="1:8" ht="22.5" customHeight="1" thickBot="1" x14ac:dyDescent="0.25">
      <c r="A20" s="160" t="s">
        <v>75</v>
      </c>
      <c r="B20" s="161"/>
      <c r="C20" s="162"/>
      <c r="D20" s="227"/>
      <c r="E20" s="228"/>
      <c r="F20" s="226"/>
      <c r="G20" s="109"/>
      <c r="H20" s="109"/>
    </row>
    <row r="21" spans="1:8" ht="24" customHeight="1" thickBot="1" x14ac:dyDescent="0.25">
      <c r="A21" s="163" t="s">
        <v>76</v>
      </c>
      <c r="B21" s="164"/>
      <c r="C21" s="165">
        <f>ROUND((((1+C13+C14)*(1+C15)*(1+C16))/(1-(C17+C18))-1),4)</f>
        <v>0.18</v>
      </c>
      <c r="D21" s="229">
        <v>0.21429999999999999</v>
      </c>
      <c r="E21" s="230">
        <v>0.2717</v>
      </c>
      <c r="F21" s="231">
        <v>0.3362</v>
      </c>
      <c r="G21" s="109"/>
      <c r="H21" s="109"/>
    </row>
    <row r="22" spans="1:8" ht="14.25" x14ac:dyDescent="0.2">
      <c r="A22" s="109"/>
      <c r="B22" s="109"/>
      <c r="C22" s="109"/>
      <c r="D22" s="109"/>
      <c r="E22" s="110"/>
      <c r="F22" s="109"/>
      <c r="G22" s="109"/>
      <c r="H22" s="109"/>
    </row>
    <row r="23" spans="1:8" ht="15.75" x14ac:dyDescent="0.2">
      <c r="A23" s="104"/>
      <c r="B23" s="42"/>
      <c r="C23" s="42"/>
      <c r="D23" s="43"/>
      <c r="E23" s="43"/>
      <c r="F23" s="109"/>
      <c r="G23" s="109"/>
      <c r="H23" s="109"/>
    </row>
    <row r="24" spans="1:8" ht="53.25" customHeight="1" x14ac:dyDescent="0.2">
      <c r="A24" s="7"/>
      <c r="B24" s="7"/>
      <c r="C24" s="292"/>
      <c r="D24" s="293"/>
      <c r="E24" s="293"/>
      <c r="F24" s="109"/>
      <c r="G24" s="109"/>
      <c r="H24" s="109"/>
    </row>
    <row r="25" spans="1:8" ht="14.25" customHeight="1" x14ac:dyDescent="0.2">
      <c r="A25" s="7"/>
      <c r="B25" s="7"/>
      <c r="C25" s="454" t="s">
        <v>220</v>
      </c>
      <c r="D25" s="454"/>
      <c r="E25" s="454"/>
      <c r="F25" s="109"/>
      <c r="G25" s="109"/>
      <c r="H25" s="109"/>
    </row>
    <row r="26" spans="1:8" x14ac:dyDescent="0.2">
      <c r="A26" s="5"/>
      <c r="B26" s="5"/>
      <c r="C26" s="450" t="s">
        <v>221</v>
      </c>
      <c r="D26" s="450"/>
      <c r="E26" s="450"/>
    </row>
  </sheetData>
  <mergeCells count="10">
    <mergeCell ref="L7:P7"/>
    <mergeCell ref="A9:F9"/>
    <mergeCell ref="L9:P9"/>
    <mergeCell ref="D11:F11"/>
    <mergeCell ref="A8:F8"/>
    <mergeCell ref="B17:B18"/>
    <mergeCell ref="C25:E25"/>
    <mergeCell ref="C26:E26"/>
    <mergeCell ref="A1:E1"/>
    <mergeCell ref="A2:F2"/>
  </mergeCells>
  <pageMargins left="0.90551181102362199" right="0.51181102362204722" top="0.74803149606299213" bottom="0.74803149606299213" header="0.31496062992125984" footer="0.31496062992125984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sqref="A1:B17"/>
    </sheetView>
  </sheetViews>
  <sheetFormatPr defaultRowHeight="19.5" customHeight="1" x14ac:dyDescent="0.2"/>
  <cols>
    <col min="1" max="1" width="24.5703125" style="1" customWidth="1"/>
    <col min="2" max="2" width="20.85546875" style="1" customWidth="1"/>
    <col min="3" max="16384" width="9.140625" style="1"/>
  </cols>
  <sheetData>
    <row r="1" spans="1:2" ht="19.5" customHeight="1" thickBot="1" x14ac:dyDescent="0.25">
      <c r="A1" s="469" t="s">
        <v>180</v>
      </c>
      <c r="B1" s="470"/>
    </row>
    <row r="2" spans="1:2" s="84" customFormat="1" ht="19.5" customHeight="1" x14ac:dyDescent="0.2">
      <c r="A2" s="179" t="s">
        <v>167</v>
      </c>
      <c r="B2" s="180" t="s">
        <v>199</v>
      </c>
    </row>
    <row r="3" spans="1:2" ht="19.5" customHeight="1" x14ac:dyDescent="0.2">
      <c r="A3" s="119">
        <v>1</v>
      </c>
      <c r="B3" s="118">
        <v>33.629999999999995</v>
      </c>
    </row>
    <row r="4" spans="1:2" ht="19.5" customHeight="1" x14ac:dyDescent="0.2">
      <c r="A4" s="119">
        <v>2</v>
      </c>
      <c r="B4" s="118">
        <v>43.13</v>
      </c>
    </row>
    <row r="5" spans="1:2" ht="19.5" customHeight="1" x14ac:dyDescent="0.2">
      <c r="A5" s="119">
        <v>3</v>
      </c>
      <c r="B5" s="118">
        <v>48.68</v>
      </c>
    </row>
    <row r="6" spans="1:2" ht="19.5" customHeight="1" x14ac:dyDescent="0.2">
      <c r="A6" s="119">
        <v>4</v>
      </c>
      <c r="B6" s="118">
        <v>52.62</v>
      </c>
    </row>
    <row r="7" spans="1:2" ht="19.5" customHeight="1" x14ac:dyDescent="0.2">
      <c r="A7" s="119">
        <v>5</v>
      </c>
      <c r="B7" s="118">
        <v>55.679999999999993</v>
      </c>
    </row>
    <row r="8" spans="1:2" ht="19.5" customHeight="1" x14ac:dyDescent="0.2">
      <c r="A8" s="119">
        <v>6</v>
      </c>
      <c r="B8" s="118">
        <v>58.18</v>
      </c>
    </row>
    <row r="9" spans="1:2" ht="19.5" customHeight="1" x14ac:dyDescent="0.2">
      <c r="A9" s="119">
        <v>7</v>
      </c>
      <c r="B9" s="118">
        <v>60.29</v>
      </c>
    </row>
    <row r="10" spans="1:2" ht="19.5" customHeight="1" x14ac:dyDescent="0.2">
      <c r="A10" s="119">
        <v>8</v>
      </c>
      <c r="B10" s="118">
        <v>62.12</v>
      </c>
    </row>
    <row r="11" spans="1:2" ht="19.5" customHeight="1" x14ac:dyDescent="0.2">
      <c r="A11" s="119">
        <v>9</v>
      </c>
      <c r="B11" s="118">
        <v>63.73</v>
      </c>
    </row>
    <row r="12" spans="1:2" ht="19.5" customHeight="1" x14ac:dyDescent="0.2">
      <c r="A12" s="119">
        <v>10</v>
      </c>
      <c r="B12" s="369">
        <v>65.180000000000007</v>
      </c>
    </row>
    <row r="13" spans="1:2" ht="19.5" customHeight="1" x14ac:dyDescent="0.2">
      <c r="A13" s="119">
        <v>11</v>
      </c>
      <c r="B13" s="118">
        <v>66.47999999999999</v>
      </c>
    </row>
    <row r="14" spans="1:2" ht="19.5" customHeight="1" x14ac:dyDescent="0.2">
      <c r="A14" s="119">
        <v>12</v>
      </c>
      <c r="B14" s="118">
        <v>67.67</v>
      </c>
    </row>
    <row r="15" spans="1:2" ht="19.5" customHeight="1" x14ac:dyDescent="0.2">
      <c r="A15" s="119">
        <v>13</v>
      </c>
      <c r="B15" s="118">
        <v>68.77</v>
      </c>
    </row>
    <row r="16" spans="1:2" ht="19.5" customHeight="1" x14ac:dyDescent="0.2">
      <c r="A16" s="119">
        <v>14</v>
      </c>
      <c r="B16" s="118">
        <v>69.789999999999992</v>
      </c>
    </row>
    <row r="17" spans="1:2" ht="19.5" customHeight="1" thickBot="1" x14ac:dyDescent="0.25">
      <c r="A17" s="120">
        <v>15</v>
      </c>
      <c r="B17" s="121">
        <v>70.73</v>
      </c>
    </row>
  </sheetData>
  <mergeCells count="1">
    <mergeCell ref="A1:B1"/>
  </mergeCells>
  <pageMargins left="0.90551181102362199" right="0.51181102362204722" top="0.74803149606299213" bottom="0.74803149606299213" header="0.31496062992125984" footer="0.31496062992125984"/>
  <pageSetup paperSize="9" orientation="portrait" verticalDpi="597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workbookViewId="0">
      <selection activeCell="F35" sqref="F35"/>
    </sheetView>
  </sheetViews>
  <sheetFormatPr defaultRowHeight="12.75" x14ac:dyDescent="0.2"/>
  <cols>
    <col min="1" max="1" width="70.42578125" style="1" customWidth="1"/>
    <col min="2" max="3" width="9.140625" style="1"/>
    <col min="4" max="4" width="12.85546875" style="1" bestFit="1" customWidth="1"/>
    <col min="5" max="16384" width="9.140625" style="1"/>
  </cols>
  <sheetData>
    <row r="1" spans="1:1" ht="18" x14ac:dyDescent="0.25">
      <c r="A1" s="169" t="s">
        <v>184</v>
      </c>
    </row>
    <row r="2" spans="1:1" x14ac:dyDescent="0.2">
      <c r="A2" s="166"/>
    </row>
    <row r="3" spans="1:1" x14ac:dyDescent="0.2">
      <c r="A3" s="166" t="s">
        <v>191</v>
      </c>
    </row>
    <row r="4" spans="1:1" x14ac:dyDescent="0.2">
      <c r="A4" s="166"/>
    </row>
    <row r="5" spans="1:1" x14ac:dyDescent="0.2">
      <c r="A5" s="166"/>
    </row>
    <row r="6" spans="1:1" x14ac:dyDescent="0.2">
      <c r="A6" s="166"/>
    </row>
    <row r="7" spans="1:1" x14ac:dyDescent="0.2">
      <c r="A7" s="166"/>
    </row>
    <row r="8" spans="1:1" x14ac:dyDescent="0.2">
      <c r="A8" s="166"/>
    </row>
    <row r="9" spans="1:1" x14ac:dyDescent="0.2">
      <c r="A9" s="166"/>
    </row>
    <row r="10" spans="1:1" x14ac:dyDescent="0.2">
      <c r="A10" s="166"/>
    </row>
    <row r="11" spans="1:1" x14ac:dyDescent="0.2">
      <c r="A11" s="166"/>
    </row>
    <row r="12" spans="1:1" ht="19.5" x14ac:dyDescent="0.35">
      <c r="A12" s="167" t="s">
        <v>181</v>
      </c>
    </row>
    <row r="13" spans="1:1" ht="15" x14ac:dyDescent="0.2">
      <c r="A13" s="167" t="s">
        <v>89</v>
      </c>
    </row>
    <row r="14" spans="1:1" ht="15" x14ac:dyDescent="0.2">
      <c r="A14" s="167" t="s">
        <v>94</v>
      </c>
    </row>
    <row r="15" spans="1:1" ht="19.5" x14ac:dyDescent="0.35">
      <c r="A15" s="167" t="s">
        <v>182</v>
      </c>
    </row>
    <row r="16" spans="1:1" ht="19.5" x14ac:dyDescent="0.35">
      <c r="A16" s="167" t="s">
        <v>183</v>
      </c>
    </row>
    <row r="17" spans="1:1" ht="15.75" thickBot="1" x14ac:dyDescent="0.25">
      <c r="A17" s="168" t="s">
        <v>90</v>
      </c>
    </row>
  </sheetData>
  <pageMargins left="0.90551181102362199" right="0.51181102362204722" top="0.74803149606299213" bottom="0.74803149606299213" header="0.31496062992125984" footer="0.31496062992125984"/>
  <pageSetup paperSize="9" orientation="portrait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13</vt:i4>
      </vt:variant>
    </vt:vector>
  </HeadingPairs>
  <TitlesOfParts>
    <vt:vector size="22" baseType="lpstr">
      <vt:lpstr>Resumo</vt:lpstr>
      <vt:lpstr>1. Coleta Domiciliar</vt:lpstr>
      <vt:lpstr>2.Transporte</vt:lpstr>
      <vt:lpstr>3. Destinação</vt:lpstr>
      <vt:lpstr>4 .Encargos Sociais</vt:lpstr>
      <vt:lpstr>5. BDI</vt:lpstr>
      <vt:lpstr>6. BDI Aterro</vt:lpstr>
      <vt:lpstr> Depreciação</vt:lpstr>
      <vt:lpstr>Remuneração de capital</vt:lpstr>
      <vt:lpstr>AbaDeprec</vt:lpstr>
      <vt:lpstr>AbaRemun</vt:lpstr>
      <vt:lpstr>'1. Coleta Domiciliar'!Area_de_impressao</vt:lpstr>
      <vt:lpstr>'2.Transporte'!Area_de_impressao</vt:lpstr>
      <vt:lpstr>'3. Destinação'!Area_de_impressao</vt:lpstr>
      <vt:lpstr>'4 .Encargos Sociais'!Area_de_impressao</vt:lpstr>
      <vt:lpstr>'5. BDI'!Area_de_impressao</vt:lpstr>
      <vt:lpstr>'6. BDI Aterro'!Area_de_impressao</vt:lpstr>
      <vt:lpstr>Resumo!Area_de_impressao</vt:lpstr>
      <vt:lpstr>'1. Coleta Domiciliar'!Titulos_de_impressao</vt:lpstr>
      <vt:lpstr>'2.Transporte'!Titulos_de_impressao</vt:lpstr>
      <vt:lpstr>'3. Destinação'!Titulos_de_impressao</vt:lpstr>
      <vt:lpstr>Resumo!Titulos_de_impressao</vt:lpstr>
    </vt:vector>
  </TitlesOfParts>
  <Company>dmlu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Custos Coleta e Transporte RSU</dc:title>
  <dc:creator>Flavia Burmeister Martins</dc:creator>
  <cp:lastModifiedBy>Camila Schmitt Caccia</cp:lastModifiedBy>
  <cp:lastPrinted>2024-10-29T17:08:31Z</cp:lastPrinted>
  <dcterms:created xsi:type="dcterms:W3CDTF">2000-12-13T10:02:50Z</dcterms:created>
  <dcterms:modified xsi:type="dcterms:W3CDTF">2024-10-29T17:08:42Z</dcterms:modified>
</cp:coreProperties>
</file>